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6" windowHeight="7752" tabRatio="589" activeTab="0"/>
  </bookViews>
  <sheets>
    <sheet name="Apresentação" sheetId="6" r:id="rId1"/>
    <sheet name="Parâmetros simulação" sheetId="2" r:id="rId2"/>
    <sheet name="Custos (resultados simulação)" sheetId="7" r:id="rId3"/>
    <sheet name="Estrutura de Custos" sheetId="8" r:id="rId4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2.xml><?xml version="1.0" encoding="utf-8"?>
<comments xmlns="http://schemas.openxmlformats.org/spreadsheetml/2006/main">
  <authors>
    <author>Moutinho</author>
  </authors>
  <commentList>
    <comment ref="I9" authorId="0">
      <text>
        <r>
          <rPr>
            <b/>
            <sz val="9"/>
            <rFont val="Tahoma"/>
            <family val="2"/>
          </rPr>
          <t>IPI Consulting Network:</t>
        </r>
        <r>
          <rPr>
            <sz val="9"/>
            <rFont val="Tahoma"/>
            <family val="2"/>
          </rPr>
          <t xml:space="preserve">
Fonte: Comissão Nacional de Acompanhamento e Disseminação de Boas práticas (2008)</t>
        </r>
      </text>
    </comment>
    <comment ref="I10" authorId="0">
      <text>
        <r>
          <rPr>
            <b/>
            <sz val="9"/>
            <rFont val="Tahoma"/>
            <family val="2"/>
          </rPr>
          <t>IPI Consulting Network:</t>
        </r>
        <r>
          <rPr>
            <sz val="9"/>
            <rFont val="Tahoma"/>
            <family val="2"/>
          </rPr>
          <t xml:space="preserve">
Fonte: Comissão Nacional de Acompanhamento e Disseminação de Boas práticas (2008).
A este valor foram somados 60.000€ para coordenação</t>
        </r>
      </text>
    </comment>
  </commentList>
</comments>
</file>

<file path=xl/sharedStrings.xml><?xml version="1.0" encoding="utf-8"?>
<sst xmlns="http://schemas.openxmlformats.org/spreadsheetml/2006/main" count="140" uniqueCount="111">
  <si>
    <t>Total IPSS a abranger</t>
  </si>
  <si>
    <t>IPSS por turma</t>
  </si>
  <si>
    <t>Formandos por IPSS</t>
  </si>
  <si>
    <t>Turmas por formador</t>
  </si>
  <si>
    <t>Skype Premium</t>
  </si>
  <si>
    <t>Go to Meeting*</t>
  </si>
  <si>
    <t>Webex Meeting 25</t>
  </si>
  <si>
    <t>Execução (meses)</t>
  </si>
  <si>
    <t>Custo mensal por conta</t>
  </si>
  <si>
    <t>Custo por organizador</t>
  </si>
  <si>
    <t>Formandos por sessão (Max)</t>
  </si>
  <si>
    <t>Total turmas</t>
  </si>
  <si>
    <t>Total de formandos</t>
  </si>
  <si>
    <t>Valor horário formador (c IVA)</t>
  </si>
  <si>
    <t>Horas de formação por IPSS</t>
  </si>
  <si>
    <t>Valor horário formador (s IVA)*</t>
  </si>
  <si>
    <t>*este valor tabelado inclui preparação e avaliação, segundo as normas do FSE</t>
  </si>
  <si>
    <t>ITEM</t>
  </si>
  <si>
    <t>Valor</t>
  </si>
  <si>
    <t>Custo Total</t>
  </si>
  <si>
    <t>Dados - Formação</t>
  </si>
  <si>
    <t>Dados - Consultoria</t>
  </si>
  <si>
    <t>Horas de consultoria por IPSS</t>
  </si>
  <si>
    <t>Total horas de consultoria</t>
  </si>
  <si>
    <t>Horas de consultoria distância</t>
  </si>
  <si>
    <t>Horas de consultoria presencial</t>
  </si>
  <si>
    <t>Proporção de consultoria à distância</t>
  </si>
  <si>
    <t>Horas por grupo</t>
  </si>
  <si>
    <t>IPSS por grupo de Consultoria</t>
  </si>
  <si>
    <t>IPSS por sessão (Max)</t>
  </si>
  <si>
    <t>IPSS por grupo</t>
  </si>
  <si>
    <t>Horas de formação / formador / mês</t>
  </si>
  <si>
    <t>Horas / semana / consultor</t>
  </si>
  <si>
    <t>Horas consultoria presencial / IPSS</t>
  </si>
  <si>
    <t>Distância</t>
  </si>
  <si>
    <t>Grupos de consultoria por consultor total</t>
  </si>
  <si>
    <t>Consultores à distância necessários</t>
  </si>
  <si>
    <t>Total grupos de consultoria à distância</t>
  </si>
  <si>
    <t>Custo Total Consultoria à distância</t>
  </si>
  <si>
    <t>Horas de formação / turma / semana</t>
  </si>
  <si>
    <t>Custo Total Consultoria presencial</t>
  </si>
  <si>
    <t>Custo Médio Consultoria à distância por IPSS</t>
  </si>
  <si>
    <t>Custo Médio Consultoria à distância por hora</t>
  </si>
  <si>
    <t>Custo Médio Consultoria presencial por IPSS</t>
  </si>
  <si>
    <t>Custo Médio Consultoria presencial por hora</t>
  </si>
  <si>
    <t>CDT médio por IPSS</t>
  </si>
  <si>
    <t>Custo Consultores à distância</t>
  </si>
  <si>
    <t>Custo Desolcação e Transportes (CDT)</t>
  </si>
  <si>
    <t>Total horas por consultor</t>
  </si>
  <si>
    <t>Presencial</t>
  </si>
  <si>
    <t>Total horas de consultoria presencial</t>
  </si>
  <si>
    <t>Horas de formação / formador / semana</t>
  </si>
  <si>
    <t>Total licenças</t>
  </si>
  <si>
    <r>
      <t xml:space="preserve">Custo </t>
    </r>
    <r>
      <rPr>
        <b/>
        <sz val="9"/>
        <color indexed="8"/>
        <rFont val="Arial"/>
        <family val="2"/>
      </rPr>
      <t>total</t>
    </r>
  </si>
  <si>
    <t>Consultoria - Valores Totais</t>
  </si>
  <si>
    <t>Formação - Valores Totais</t>
  </si>
  <si>
    <t>CDT médio por hora consultoria</t>
  </si>
  <si>
    <t>Custo Médio Formação por hora formação</t>
  </si>
  <si>
    <t>CTO por IPSS</t>
  </si>
  <si>
    <t>CTO médio por hora total</t>
  </si>
  <si>
    <t>Custo Total Operacional (CTO)</t>
  </si>
  <si>
    <r>
      <t>Total licenças</t>
    </r>
    <r>
      <rPr>
        <sz val="6"/>
        <color indexed="8"/>
        <rFont val="Arial"/>
        <family val="2"/>
      </rPr>
      <t>(1)</t>
    </r>
  </si>
  <si>
    <t>(1) Como o número total de horas de consultoria é inferior ao número de horas num mês, assume-se que consultoria é prestada num só mês</t>
  </si>
  <si>
    <t>** Assume-se que é só necessário um consultor por IPSS na consultoria presencial</t>
  </si>
  <si>
    <t>CT por IPSS</t>
  </si>
  <si>
    <t>CT médio por hora total</t>
  </si>
  <si>
    <r>
      <t>Custo</t>
    </r>
    <r>
      <rPr>
        <b/>
        <sz val="9"/>
        <color indexed="8"/>
        <rFont val="Arial"/>
        <family val="2"/>
      </rPr>
      <t xml:space="preserve"> licenças</t>
    </r>
  </si>
  <si>
    <t xml:space="preserve">Custo Total Fixo (CTF) </t>
  </si>
  <si>
    <t>Formadores à distância</t>
  </si>
  <si>
    <t>Custo Total das Formações à distância</t>
  </si>
  <si>
    <t>Total horas de formação à distância</t>
  </si>
  <si>
    <t>Custo Médio Formação distância por IPSS</t>
  </si>
  <si>
    <t>Custo Total Formação presencial</t>
  </si>
  <si>
    <t>Total horas por formador à distância</t>
  </si>
  <si>
    <t>Total formadores à distância necessários</t>
  </si>
  <si>
    <t>Total consultores presenciais necessários**</t>
  </si>
  <si>
    <t>Total horas de formação presencial</t>
  </si>
  <si>
    <t>Total formadores presencias necessários</t>
  </si>
  <si>
    <t>Custos de deslocação e transposrte por hora (CDT)</t>
  </si>
  <si>
    <t>Custos de Estrutura previstos</t>
  </si>
  <si>
    <t>Excel de simulação do programa "Gestão Empresarial com Sentido Social"</t>
  </si>
  <si>
    <t>Este ficheiro permite a qualquer utilizador simular os custos dos programas de formação apresentados no relatório "Gestão Empresarial com Sentido Social - metodologia para o reforço e expansão dos programas de formação em gestão visando a sustentabilidade das IPSS associadas CNIS"</t>
  </si>
  <si>
    <t>1 - Número de IPSS a abranger no programa</t>
  </si>
  <si>
    <t>2 - Número de horas de formação e de consultoria por IPSS</t>
  </si>
  <si>
    <t>3 - Proporção de horas de consultoria e formação à distância</t>
  </si>
  <si>
    <t>Todas as células destinadas a serem alteradas estão assinaladas com a seguinte formatação:</t>
  </si>
  <si>
    <t>(Número)</t>
  </si>
  <si>
    <t>Este ficheiro permite ao utilizador alterar os valores dos parâmetros-chave do programa, obtendo automaticamente o novo custo esperado do programa</t>
  </si>
  <si>
    <t>Que parâmetros-chave podem ser alterados</t>
  </si>
  <si>
    <t>Como alterar esses parâmetros</t>
  </si>
  <si>
    <t>Pode-se alterar estas células inserindo números diferentes. Essas alterações geram automaticamente os novos custos</t>
  </si>
  <si>
    <t>Parâmetros tecnologia de comunicação à distância</t>
  </si>
  <si>
    <t>Go to Meeting</t>
  </si>
  <si>
    <t>Indicadores de custos</t>
  </si>
  <si>
    <t>4 - Periodo de execução, numero de horas por formador e por consultor</t>
  </si>
  <si>
    <t>6 - Custos de estrutura e custos deslocação e transporte</t>
  </si>
  <si>
    <t>5 - Custos por hora de formação e consultoria</t>
  </si>
  <si>
    <t>Preço por hora / consultoria (s IVA)</t>
  </si>
  <si>
    <t>Preço por hora / consultoria (c IVA)</t>
  </si>
  <si>
    <t>Estrutura de Custos do Programa</t>
  </si>
  <si>
    <t>CT - GESS</t>
  </si>
  <si>
    <t>CM - GESS</t>
  </si>
  <si>
    <t>Formação presencial</t>
  </si>
  <si>
    <t>Consultoria presencial</t>
  </si>
  <si>
    <t>Consultoria à distância</t>
  </si>
  <si>
    <t>Desolcação e Transportes (CDT)</t>
  </si>
  <si>
    <t>Fixo</t>
  </si>
  <si>
    <t>Total</t>
  </si>
  <si>
    <t>CM - Custo Médio por IPSS</t>
  </si>
  <si>
    <t>Formação à distância</t>
  </si>
  <si>
    <t>Formandos por sessão (Max 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</si>
</sst>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.00_-;\-* #,##0.00_-;_-* &quot;-&quot;??_-;_-@_-"/>
    <numFmt numFmtId="165" formatCode="_-* #,##0.00\ [$€-816]_-;\-* #,##0.00\ [$€-816]_-;_-* &quot;-&quot;??\ [$€-816]_-;_-@_-"/>
    <numFmt numFmtId="166" formatCode="_(* #,##0_);_(* \(#,##0\);_(* &quot;-&quot;??_);_(@_)"/>
    <numFmt numFmtId="167" formatCode="#,##0.00\ [$€-816]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6"/>
      <color indexed="8"/>
      <name val="Arial"/>
      <family val="2"/>
    </font>
    <font>
      <b/>
      <sz val="9"/>
      <color theme="3"/>
      <name val="Arial"/>
      <family val="2"/>
    </font>
    <font>
      <b/>
      <sz val="24"/>
      <color theme="0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sz val="2"/>
      <color theme="1"/>
      <name val="Arial"/>
      <family val="2"/>
    </font>
    <font>
      <b/>
      <sz val="12"/>
      <color theme="3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b/>
      <sz val="14"/>
      <color theme="1" tint="0.35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sz val="9"/>
      <color theme="1" tint="0.35"/>
      <name val="Calibri"/>
      <family val="2"/>
    </font>
    <font>
      <sz val="11"/>
      <color theme="0"/>
      <name val="Calibri"/>
      <family val="2"/>
    </font>
    <font>
      <sz val="11"/>
      <color theme="0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7999799847602844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</cellStyleXfs>
  <cellXfs count="143">
    <xf numFmtId="0" fontId="0" fillId="0" borderId="0" xfId="0"/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2" borderId="1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165" fontId="7" fillId="2" borderId="0" xfId="0" applyNumberFormat="1" applyFont="1" applyFill="1" applyBorder="1"/>
    <xf numFmtId="165" fontId="7" fillId="2" borderId="3" xfId="0" applyNumberFormat="1" applyFont="1" applyFill="1" applyBorder="1"/>
    <xf numFmtId="0" fontId="2" fillId="0" borderId="0" xfId="0" applyFont="1" applyFill="1" applyAlignment="1">
      <alignment horizontal="center" vertical="center"/>
    </xf>
    <xf numFmtId="164" fontId="5" fillId="0" borderId="0" xfId="0" applyNumberFormat="1" applyFont="1" applyFill="1" applyBorder="1" applyAlignment="1" applyProtection="1">
      <alignment horizontal="center" vertical="center"/>
      <protection/>
    </xf>
    <xf numFmtId="0" fontId="7" fillId="2" borderId="4" xfId="0" applyFont="1" applyFill="1" applyBorder="1"/>
    <xf numFmtId="165" fontId="7" fillId="2" borderId="5" xfId="0" applyNumberFormat="1" applyFont="1" applyFill="1" applyBorder="1" applyAlignment="1">
      <alignment horizontal="center" vertical="center" wrapText="1"/>
    </xf>
    <xf numFmtId="165" fontId="7" fillId="2" borderId="6" xfId="0" applyNumberFormat="1" applyFont="1" applyFill="1" applyBorder="1" applyAlignment="1">
      <alignment horizontal="center" vertical="center" wrapText="1"/>
    </xf>
    <xf numFmtId="165" fontId="7" fillId="2" borderId="7" xfId="0" applyNumberFormat="1" applyFont="1" applyFill="1" applyBorder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4" fillId="3" borderId="9" xfId="0" applyNumberFormat="1" applyFont="1" applyFill="1" applyBorder="1" applyAlignment="1" applyProtection="1">
      <alignment horizontal="center" vertical="center"/>
      <protection/>
    </xf>
    <xf numFmtId="165" fontId="5" fillId="3" borderId="5" xfId="0" applyNumberFormat="1" applyFont="1" applyFill="1" applyBorder="1" applyAlignment="1" applyProtection="1">
      <alignment horizontal="right" vertical="center"/>
      <protection/>
    </xf>
    <xf numFmtId="165" fontId="5" fillId="3" borderId="6" xfId="0" applyNumberFormat="1" applyFont="1" applyFill="1" applyBorder="1" applyAlignment="1" applyProtection="1">
      <alignment horizontal="right" vertical="center"/>
      <protection/>
    </xf>
    <xf numFmtId="0" fontId="4" fillId="3" borderId="4" xfId="0" applyNumberFormat="1" applyFont="1" applyFill="1" applyBorder="1" applyAlignment="1" applyProtection="1">
      <alignment horizontal="center" vertical="center"/>
      <protection/>
    </xf>
    <xf numFmtId="165" fontId="5" fillId="3" borderId="0" xfId="0" applyNumberFormat="1" applyFont="1" applyFill="1" applyBorder="1" applyAlignment="1" applyProtection="1">
      <alignment horizontal="right" vertical="center"/>
      <protection/>
    </xf>
    <xf numFmtId="165" fontId="5" fillId="3" borderId="3" xfId="0" applyNumberFormat="1" applyFont="1" applyFill="1" applyBorder="1" applyAlignment="1" applyProtection="1">
      <alignment horizontal="right" vertical="center"/>
      <protection/>
    </xf>
    <xf numFmtId="0" fontId="5" fillId="3" borderId="0" xfId="0" applyNumberFormat="1" applyFont="1" applyFill="1" applyBorder="1" applyAlignment="1" applyProtection="1">
      <alignment horizontal="right" vertical="center"/>
      <protection/>
    </xf>
    <xf numFmtId="0" fontId="5" fillId="3" borderId="3" xfId="0" applyNumberFormat="1" applyFont="1" applyFill="1" applyBorder="1" applyAlignment="1" applyProtection="1">
      <alignment horizontal="right" vertical="center"/>
      <protection/>
    </xf>
    <xf numFmtId="166" fontId="5" fillId="3" borderId="0" xfId="0" applyNumberFormat="1" applyFont="1" applyFill="1" applyBorder="1" applyAlignment="1" applyProtection="1">
      <alignment horizontal="right" vertical="center"/>
      <protection/>
    </xf>
    <xf numFmtId="166" fontId="5" fillId="3" borderId="3" xfId="0" applyNumberFormat="1" applyFont="1" applyFill="1" applyBorder="1" applyAlignment="1" applyProtection="1">
      <alignment horizontal="right" vertical="center"/>
      <protection/>
    </xf>
    <xf numFmtId="0" fontId="3" fillId="3" borderId="4" xfId="0" applyFont="1" applyFill="1" applyBorder="1" applyAlignment="1">
      <alignment horizontal="center" vertical="center"/>
    </xf>
    <xf numFmtId="165" fontId="3" fillId="3" borderId="0" xfId="0" applyNumberFormat="1" applyFont="1" applyFill="1" applyBorder="1" applyAlignment="1">
      <alignment horizontal="center" vertical="center"/>
    </xf>
    <xf numFmtId="165" fontId="3" fillId="3" borderId="3" xfId="0" applyNumberFormat="1" applyFont="1" applyFill="1" applyBorder="1" applyAlignment="1">
      <alignment horizontal="center" vertical="center"/>
    </xf>
    <xf numFmtId="3" fontId="5" fillId="3" borderId="0" xfId="0" applyNumberFormat="1" applyFont="1" applyFill="1" applyBorder="1" applyAlignment="1" applyProtection="1">
      <alignment horizontal="right" vertical="center"/>
      <protection/>
    </xf>
    <xf numFmtId="3" fontId="5" fillId="3" borderId="3" xfId="0" applyNumberFormat="1" applyFont="1" applyFill="1" applyBorder="1" applyAlignment="1" applyProtection="1">
      <alignment horizontal="right" vertical="center"/>
      <protection/>
    </xf>
    <xf numFmtId="0" fontId="3" fillId="3" borderId="10" xfId="0" applyFont="1" applyFill="1" applyBorder="1" applyAlignment="1">
      <alignment horizontal="center" vertical="center"/>
    </xf>
    <xf numFmtId="165" fontId="3" fillId="3" borderId="7" xfId="0" applyNumberFormat="1" applyFont="1" applyFill="1" applyBorder="1" applyAlignment="1">
      <alignment horizontal="center" vertical="center"/>
    </xf>
    <xf numFmtId="165" fontId="3" fillId="3" borderId="8" xfId="0" applyNumberFormat="1" applyFont="1" applyFill="1" applyBorder="1" applyAlignment="1">
      <alignment horizontal="center" vertical="center"/>
    </xf>
    <xf numFmtId="165" fontId="3" fillId="3" borderId="11" xfId="0" applyNumberFormat="1" applyFont="1" applyFill="1" applyBorder="1" applyAlignment="1">
      <alignment horizontal="center" vertical="center"/>
    </xf>
    <xf numFmtId="165" fontId="3" fillId="3" borderId="5" xfId="0" applyNumberFormat="1" applyFont="1" applyFill="1" applyBorder="1" applyAlignment="1">
      <alignment horizontal="center" vertical="center"/>
    </xf>
    <xf numFmtId="165" fontId="3" fillId="3" borderId="6" xfId="0" applyNumberFormat="1" applyFont="1" applyFill="1" applyBorder="1" applyAlignment="1">
      <alignment horizontal="center" vertical="center"/>
    </xf>
    <xf numFmtId="165" fontId="3" fillId="3" borderId="1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5" fontId="7" fillId="2" borderId="11" xfId="0" applyNumberFormat="1" applyFont="1" applyFill="1" applyBorder="1" applyAlignment="1">
      <alignment horizontal="center" vertical="center" wrapText="1"/>
    </xf>
    <xf numFmtId="165" fontId="7" fillId="2" borderId="12" xfId="0" applyNumberFormat="1" applyFont="1" applyFill="1" applyBorder="1" applyAlignment="1">
      <alignment horizontal="center" vertical="center" wrapText="1"/>
    </xf>
    <xf numFmtId="0" fontId="4" fillId="3" borderId="11" xfId="0" applyNumberFormat="1" applyFont="1" applyFill="1" applyBorder="1" applyAlignment="1" applyProtection="1">
      <alignment horizontal="left" vertical="center"/>
      <protection/>
    </xf>
    <xf numFmtId="0" fontId="4" fillId="3" borderId="13" xfId="0" applyNumberFormat="1" applyFont="1" applyFill="1" applyBorder="1" applyAlignment="1" applyProtection="1">
      <alignment horizontal="left" vertical="center"/>
      <protection/>
    </xf>
    <xf numFmtId="0" fontId="5" fillId="3" borderId="13" xfId="0" applyNumberFormat="1" applyFont="1" applyFill="1" applyBorder="1" applyAlignment="1" applyProtection="1">
      <alignment horizontal="left" vertical="center"/>
      <protection/>
    </xf>
    <xf numFmtId="0" fontId="4" fillId="3" borderId="12" xfId="0" applyNumberFormat="1" applyFont="1" applyFill="1" applyBorder="1" applyAlignment="1" applyProtection="1">
      <alignment horizontal="left" vertical="center"/>
      <protection/>
    </xf>
    <xf numFmtId="0" fontId="2" fillId="3" borderId="12" xfId="0" applyFont="1" applyFill="1" applyBorder="1"/>
    <xf numFmtId="0" fontId="11" fillId="3" borderId="0" xfId="0" applyFont="1" applyFill="1"/>
    <xf numFmtId="0" fontId="2" fillId="3" borderId="0" xfId="0" applyFont="1" applyFill="1"/>
    <xf numFmtId="0" fontId="13" fillId="3" borderId="0" xfId="0" applyFont="1" applyFill="1"/>
    <xf numFmtId="0" fontId="13" fillId="3" borderId="0" xfId="0" applyFont="1" applyFill="1" applyBorder="1"/>
    <xf numFmtId="0" fontId="13" fillId="3" borderId="0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165" fontId="6" fillId="4" borderId="15" xfId="0" applyNumberFormat="1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165" fontId="6" fillId="4" borderId="12" xfId="0" applyNumberFormat="1" applyFont="1" applyFill="1" applyBorder="1" applyAlignment="1">
      <alignment horizontal="center" vertical="center" wrapText="1"/>
    </xf>
    <xf numFmtId="165" fontId="6" fillId="4" borderId="7" xfId="0" applyNumberFormat="1" applyFont="1" applyFill="1" applyBorder="1" applyAlignment="1">
      <alignment horizontal="center" vertical="center" wrapText="1"/>
    </xf>
    <xf numFmtId="165" fontId="6" fillId="4" borderId="8" xfId="0" applyNumberFormat="1" applyFont="1" applyFill="1" applyBorder="1" applyAlignment="1">
      <alignment horizontal="center" vertical="center" wrapText="1"/>
    </xf>
    <xf numFmtId="0" fontId="2" fillId="3" borderId="13" xfId="0" applyFont="1" applyFill="1" applyBorder="1"/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3" fillId="3" borderId="13" xfId="0" applyFont="1" applyFill="1" applyBorder="1"/>
    <xf numFmtId="0" fontId="13" fillId="3" borderId="3" xfId="0" applyFont="1" applyFill="1" applyBorder="1"/>
    <xf numFmtId="0" fontId="9" fillId="5" borderId="6" xfId="0" applyNumberFormat="1" applyFont="1" applyFill="1" applyBorder="1" applyAlignment="1">
      <alignment horizontal="right"/>
    </xf>
    <xf numFmtId="3" fontId="9" fillId="5" borderId="3" xfId="0" applyNumberFormat="1" applyFont="1" applyFill="1" applyBorder="1" applyAlignment="1" applyProtection="1">
      <alignment horizontal="right" vertical="center"/>
      <protection/>
    </xf>
    <xf numFmtId="9" fontId="9" fillId="5" borderId="3" xfId="0" applyNumberFormat="1" applyFont="1" applyFill="1" applyBorder="1" applyAlignment="1">
      <alignment horizontal="right" vertical="center"/>
    </xf>
    <xf numFmtId="3" fontId="9" fillId="5" borderId="8" xfId="0" applyNumberFormat="1" applyFont="1" applyFill="1" applyBorder="1" applyAlignment="1" applyProtection="1">
      <alignment horizontal="right" vertical="center"/>
      <protection/>
    </xf>
    <xf numFmtId="167" fontId="9" fillId="5" borderId="3" xfId="0" applyNumberFormat="1" applyFont="1" applyFill="1" applyBorder="1" applyAlignment="1" applyProtection="1">
      <alignment horizontal="right" vertical="center"/>
      <protection/>
    </xf>
    <xf numFmtId="0" fontId="4" fillId="3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165" fontId="7" fillId="0" borderId="0" xfId="0" applyNumberFormat="1" applyFont="1" applyFill="1" applyBorder="1"/>
    <xf numFmtId="0" fontId="3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9" fontId="9" fillId="5" borderId="3" xfId="20" applyFont="1" applyFill="1" applyBorder="1" applyAlignment="1" applyProtection="1">
      <alignment horizontal="right" vertical="center"/>
      <protection/>
    </xf>
    <xf numFmtId="3" fontId="17" fillId="3" borderId="6" xfId="0" applyNumberFormat="1" applyFont="1" applyFill="1" applyBorder="1" applyAlignment="1" applyProtection="1">
      <alignment horizontal="right" vertical="center"/>
      <protection/>
    </xf>
    <xf numFmtId="3" fontId="17" fillId="3" borderId="3" xfId="0" applyNumberFormat="1" applyFont="1" applyFill="1" applyBorder="1" applyAlignment="1" applyProtection="1">
      <alignment horizontal="right" vertical="center"/>
      <protection/>
    </xf>
    <xf numFmtId="0" fontId="9" fillId="5" borderId="7" xfId="0" applyNumberFormat="1" applyFont="1" applyFill="1" applyBorder="1" applyAlignment="1" applyProtection="1">
      <alignment horizontal="right" vertical="center"/>
      <protection/>
    </xf>
    <xf numFmtId="0" fontId="9" fillId="5" borderId="8" xfId="0" applyNumberFormat="1" applyFont="1" applyFill="1" applyBorder="1" applyAlignment="1" applyProtection="1">
      <alignment horizontal="right" vertical="center"/>
      <protection/>
    </xf>
    <xf numFmtId="165" fontId="9" fillId="5" borderId="3" xfId="0" applyNumberFormat="1" applyFont="1" applyFill="1" applyBorder="1" applyProtection="1">
      <protection/>
    </xf>
    <xf numFmtId="165" fontId="9" fillId="5" borderId="8" xfId="0" applyNumberFormat="1" applyFont="1" applyFill="1" applyBorder="1" applyProtection="1">
      <protection/>
    </xf>
    <xf numFmtId="0" fontId="17" fillId="2" borderId="2" xfId="0" applyFont="1" applyFill="1" applyBorder="1" applyAlignment="1">
      <alignment/>
    </xf>
    <xf numFmtId="165" fontId="17" fillId="3" borderId="5" xfId="0" applyNumberFormat="1" applyFont="1" applyFill="1" applyBorder="1" applyAlignment="1" applyProtection="1">
      <alignment horizontal="right" vertical="center"/>
      <protection/>
    </xf>
    <xf numFmtId="165" fontId="17" fillId="3" borderId="6" xfId="0" applyNumberFormat="1" applyFont="1" applyFill="1" applyBorder="1" applyAlignment="1" applyProtection="1">
      <alignment horizontal="right" vertical="center"/>
      <protection/>
    </xf>
    <xf numFmtId="165" fontId="17" fillId="3" borderId="0" xfId="0" applyNumberFormat="1" applyFont="1" applyFill="1" applyBorder="1" applyAlignment="1" applyProtection="1">
      <alignment horizontal="right" vertical="center"/>
      <protection/>
    </xf>
    <xf numFmtId="165" fontId="17" fillId="3" borderId="3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/>
    <xf numFmtId="0" fontId="6" fillId="4" borderId="13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3" borderId="11" xfId="0" applyFont="1" applyFill="1" applyBorder="1"/>
    <xf numFmtId="165" fontId="17" fillId="3" borderId="5" xfId="0" applyNumberFormat="1" applyFont="1" applyFill="1" applyBorder="1"/>
    <xf numFmtId="165" fontId="17" fillId="3" borderId="0" xfId="0" applyNumberFormat="1" applyFont="1" applyFill="1" applyBorder="1"/>
    <xf numFmtId="165" fontId="17" fillId="3" borderId="3" xfId="0" applyNumberFormat="1" applyFont="1" applyFill="1" applyBorder="1"/>
    <xf numFmtId="165" fontId="2" fillId="0" borderId="0" xfId="0" applyNumberFormat="1" applyFont="1"/>
    <xf numFmtId="0" fontId="3" fillId="2" borderId="1" xfId="0" applyFont="1" applyFill="1" applyBorder="1"/>
    <xf numFmtId="165" fontId="3" fillId="2" borderId="15" xfId="0" applyNumberFormat="1" applyFont="1" applyFill="1" applyBorder="1"/>
    <xf numFmtId="165" fontId="3" fillId="2" borderId="2" xfId="0" applyNumberFormat="1" applyFont="1" applyFill="1" applyBorder="1"/>
    <xf numFmtId="167" fontId="17" fillId="0" borderId="8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4" fillId="2" borderId="13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5" borderId="1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centagem" xfId="20"/>
    <cellStyle name="Normal 59" xfId="21"/>
    <cellStyle name="Normal 2" xfId="22"/>
    <cellStyle name="Normal 41" xfId="23"/>
    <cellStyle name="Percent 2" xfId="24"/>
    <cellStyle name="Normal 41 2" xfId="25"/>
    <cellStyle name="Comma 2" xfId="26"/>
    <cellStyle name="Comma 4" xfId="27"/>
    <cellStyle name="Comma 3" xfId="28"/>
    <cellStyle name="Normal 3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all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Estrutura</a:t>
            </a:r>
            <a:r>
              <a:rPr lang="en-US" cap="all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de custos GESS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185"/>
          <c:y val="0.14175"/>
          <c:w val="0.5575"/>
          <c:h val="0.828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shade val="50000"/>
                </a:schemeClr>
              </a:solidFill>
              <a:ln>
                <a:noFill/>
              </a:ln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spPr>
              <a:solidFill>
                <a:schemeClr val="accent1">
                  <a:shade val="70000"/>
                </a:schemeClr>
              </a:solidFill>
              <a:ln>
                <a:noFill/>
              </a:ln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2"/>
            <c:spPr>
              <a:solidFill>
                <a:schemeClr val="accent1">
                  <a:shade val="90000"/>
                </a:schemeClr>
              </a:solidFill>
              <a:ln>
                <a:noFill/>
              </a:ln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3"/>
            <c:spPr>
              <a:solidFill>
                <a:schemeClr val="accent1">
                  <a:tint val="90000"/>
                </a:schemeClr>
              </a:solidFill>
              <a:ln>
                <a:noFill/>
              </a:ln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4"/>
            <c:spPr>
              <a:solidFill>
                <a:schemeClr val="accent1">
                  <a:tint val="70000"/>
                </a:schemeClr>
              </a:solidFill>
              <a:ln>
                <a:noFill/>
              </a:ln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5"/>
            <c:spPr>
              <a:solidFill>
                <a:srgbClr val="FFC000"/>
              </a:solidFill>
              <a:ln>
                <a:noFill/>
              </a:ln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dLbl>
              <c:idx val="3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900" b="1" i="0" u="none" baseline="0">
                      <a:solidFill>
                        <a:schemeClr val="tx1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900" b="1" i="0" u="none" baseline="0">
                      <a:solidFill>
                        <a:schemeClr val="tx1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900" b="1" i="0" u="none" baseline="0">
                      <a:solidFill>
                        <a:schemeClr val="tx1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'Estrutura de Custos'!$B$3:$B$8</c:f>
              <c:strCache/>
            </c:strRef>
          </c:cat>
          <c:val>
            <c:numRef>
              <c:f>'Estrutura de Custos'!$C$3:$C$8</c:f>
              <c:numCache/>
            </c:numRef>
          </c:val>
        </c:ser>
        <c:ser>
          <c:idx val="1"/>
          <c:order val="1"/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shade val="50000"/>
                </a:schemeClr>
              </a:solidFill>
              <a:ln>
                <a:noFill/>
              </a:ln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spPr>
              <a:solidFill>
                <a:schemeClr val="accent1">
                  <a:shade val="70000"/>
                </a:schemeClr>
              </a:solidFill>
              <a:ln>
                <a:noFill/>
              </a:ln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2"/>
            <c:spPr>
              <a:solidFill>
                <a:schemeClr val="accent1">
                  <a:shade val="90000"/>
                </a:schemeClr>
              </a:solidFill>
              <a:ln>
                <a:noFill/>
              </a:ln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3"/>
            <c:spPr>
              <a:solidFill>
                <a:schemeClr val="accent1">
                  <a:tint val="90000"/>
                </a:schemeClr>
              </a:solidFill>
              <a:ln>
                <a:noFill/>
              </a:ln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4"/>
            <c:spPr>
              <a:solidFill>
                <a:schemeClr val="accent1">
                  <a:tint val="70000"/>
                </a:schemeClr>
              </a:solidFill>
              <a:ln>
                <a:noFill/>
              </a:ln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5"/>
            <c:spPr>
              <a:solidFill>
                <a:srgbClr val="FFC000"/>
              </a:solidFill>
              <a:ln>
                <a:noFill/>
              </a:ln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dLbl>
              <c:idx val="3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900" b="1" i="0" u="none" baseline="0">
                      <a:solidFill>
                        <a:schemeClr val="tx1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#,##0\ [$€-816]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900" b="1" i="0" u="none" baseline="0">
                      <a:solidFill>
                        <a:schemeClr val="tx1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#,##0\ [$€-816]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900" b="1" i="0" u="none" baseline="0">
                      <a:solidFill>
                        <a:schemeClr val="tx1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#,##0\ [$€-816]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\ [$€-816]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'Estrutura de Custos'!$B$3:$B$8</c:f>
              <c:strCache/>
            </c:strRef>
          </c:cat>
          <c:val>
            <c:numRef>
              <c:f>'Estrutura de Custos'!$D$3:$D$8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3"/>
          <c:y val="0.2575"/>
          <c:w val="0.332"/>
          <c:h val="0.566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pt-PT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7</xdr:row>
      <xdr:rowOff>9525</xdr:rowOff>
    </xdr:from>
    <xdr:to>
      <xdr:col>4</xdr:col>
      <xdr:colOff>390525</xdr:colOff>
      <xdr:row>9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148" r="20625"/>
        <a:stretch>
          <a:fillRect/>
        </a:stretch>
      </xdr:blipFill>
      <xdr:spPr bwMode="auto">
        <a:xfrm>
          <a:off x="333375" y="1333500"/>
          <a:ext cx="21240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314325</xdr:colOff>
      <xdr:row>2</xdr:row>
      <xdr:rowOff>76200</xdr:rowOff>
    </xdr:from>
    <xdr:to>
      <xdr:col>3</xdr:col>
      <xdr:colOff>257175</xdr:colOff>
      <xdr:row>5</xdr:row>
      <xdr:rowOff>123825</xdr:rowOff>
    </xdr:to>
    <xdr:pic>
      <xdr:nvPicPr>
        <xdr:cNvPr id="3" name="Picture 2" descr="cnis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62050" y="476250"/>
          <a:ext cx="552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</xdr:colOff>
      <xdr:row>16</xdr:row>
      <xdr:rowOff>85725</xdr:rowOff>
    </xdr:from>
    <xdr:to>
      <xdr:col>10</xdr:col>
      <xdr:colOff>581025</xdr:colOff>
      <xdr:row>27</xdr:row>
      <xdr:rowOff>352425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" y="2743200"/>
          <a:ext cx="5962650" cy="2886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190500</xdr:colOff>
      <xdr:row>3</xdr:row>
      <xdr:rowOff>9525</xdr:rowOff>
    </xdr:from>
    <xdr:to>
      <xdr:col>20</xdr:col>
      <xdr:colOff>628650</xdr:colOff>
      <xdr:row>6</xdr:row>
      <xdr:rowOff>76200</xdr:rowOff>
    </xdr:to>
    <xdr:pic>
      <xdr:nvPicPr>
        <xdr:cNvPr id="11" name="Imagem 9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10875" y="638175"/>
          <a:ext cx="1076325" cy="5810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24</xdr:col>
      <xdr:colOff>133350</xdr:colOff>
      <xdr:row>17</xdr:row>
      <xdr:rowOff>190500</xdr:rowOff>
    </xdr:from>
    <xdr:to>
      <xdr:col>24</xdr:col>
      <xdr:colOff>628650</xdr:colOff>
      <xdr:row>18</xdr:row>
      <xdr:rowOff>114300</xdr:rowOff>
    </xdr:to>
    <xdr:sp macro="" textlink="">
      <xdr:nvSpPr>
        <xdr:cNvPr id="12" name="Right Arrow 11"/>
        <xdr:cNvSpPr/>
      </xdr:nvSpPr>
      <xdr:spPr>
        <a:xfrm>
          <a:off x="13944600" y="2943225"/>
          <a:ext cx="495300" cy="314325"/>
        </a:xfrm>
        <a:prstGeom prst="rightArrow">
          <a:avLst/>
        </a:prstGeom>
        <a:solidFill>
          <a:srgbClr val="44546A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10</xdr:row>
      <xdr:rowOff>9525</xdr:rowOff>
    </xdr:from>
    <xdr:to>
      <xdr:col>5</xdr:col>
      <xdr:colOff>123825</xdr:colOff>
      <xdr:row>31</xdr:row>
      <xdr:rowOff>85725</xdr:rowOff>
    </xdr:to>
    <xdr:graphicFrame macro="">
      <xdr:nvGraphicFramePr>
        <xdr:cNvPr id="4" name="Chart 3"/>
        <xdr:cNvGraphicFramePr/>
      </xdr:nvGraphicFramePr>
      <xdr:xfrm>
        <a:off x="619125" y="1533525"/>
        <a:ext cx="486727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28"/>
  <sheetViews>
    <sheetView tabSelected="1" zoomScale="80" zoomScaleNormal="80" workbookViewId="0" topLeftCell="A1"/>
  </sheetViews>
  <sheetFormatPr defaultColWidth="9.140625" defaultRowHeight="15"/>
  <cols>
    <col min="1" max="1" width="3.57421875" style="50" customWidth="1"/>
    <col min="2" max="5" width="9.140625" style="50" customWidth="1"/>
    <col min="6" max="12" width="9.140625" style="49" customWidth="1"/>
    <col min="13" max="13" width="3.57421875" style="49" customWidth="1"/>
    <col min="14" max="14" width="9.140625" style="49" customWidth="1"/>
    <col min="15" max="18" width="9.57421875" style="49" customWidth="1"/>
    <col min="19" max="19" width="4.140625" style="49" customWidth="1"/>
    <col min="20" max="25" width="9.57421875" style="50" customWidth="1"/>
    <col min="26" max="27" width="8.00390625" style="50" customWidth="1"/>
    <col min="28" max="36" width="9.140625" style="50" customWidth="1"/>
    <col min="37" max="16384" width="9.140625" style="49" customWidth="1"/>
  </cols>
  <sheetData>
    <row r="1" s="50" customFormat="1" ht="11.4"/>
    <row r="2" spans="6:19" ht="20.25" customHeight="1">
      <c r="F2" s="117" t="s">
        <v>80</v>
      </c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9"/>
      <c r="S2" s="50"/>
    </row>
    <row r="3" spans="6:19" ht="18" customHeight="1">
      <c r="F3" s="120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2"/>
      <c r="S3" s="50"/>
    </row>
    <row r="4" spans="6:19" ht="18" customHeight="1">
      <c r="F4" s="120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2"/>
      <c r="S4" s="50"/>
    </row>
    <row r="5" spans="6:20" s="51" customFormat="1" ht="7.5" customHeight="1">
      <c r="F5" s="66"/>
      <c r="G5" s="52"/>
      <c r="H5" s="52"/>
      <c r="I5" s="53"/>
      <c r="J5" s="53"/>
      <c r="K5" s="53"/>
      <c r="L5" s="53"/>
      <c r="M5" s="53"/>
      <c r="N5" s="53"/>
      <c r="O5" s="53"/>
      <c r="P5" s="53"/>
      <c r="Q5" s="53"/>
      <c r="R5" s="67"/>
      <c r="S5" s="50"/>
      <c r="T5" s="50"/>
    </row>
    <row r="6" spans="6:19" ht="15" customHeight="1">
      <c r="F6" s="111" t="s">
        <v>81</v>
      </c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3"/>
      <c r="S6" s="50"/>
    </row>
    <row r="7" spans="6:19" ht="14.25" customHeight="1">
      <c r="F7" s="111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3"/>
      <c r="S7" s="50"/>
    </row>
    <row r="8" spans="6:19" ht="14.25" customHeight="1">
      <c r="F8" s="111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3"/>
      <c r="S8" s="50"/>
    </row>
    <row r="9" spans="6:19" ht="15" customHeight="1">
      <c r="F9" s="111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3"/>
      <c r="S9" s="50"/>
    </row>
    <row r="10" spans="6:19" ht="14.25" customHeight="1">
      <c r="F10" s="111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3"/>
      <c r="S10" s="50"/>
    </row>
    <row r="11" spans="6:19" ht="6.75" customHeight="1">
      <c r="F11" s="114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6"/>
      <c r="S11" s="50"/>
    </row>
    <row r="12" s="50" customFormat="1" ht="6.75" customHeight="1"/>
    <row r="13" spans="2:24" s="50" customFormat="1" ht="12" customHeight="1">
      <c r="B13" s="126" t="s">
        <v>87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N13" s="126" t="s">
        <v>88</v>
      </c>
      <c r="O13" s="126"/>
      <c r="P13" s="126"/>
      <c r="Q13" s="126"/>
      <c r="R13" s="126"/>
      <c r="T13" s="126" t="s">
        <v>89</v>
      </c>
      <c r="U13" s="126"/>
      <c r="V13" s="126"/>
      <c r="W13" s="126"/>
      <c r="X13" s="126"/>
    </row>
    <row r="14" spans="2:24" s="50" customFormat="1" ht="12" customHeight="1"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N14" s="126"/>
      <c r="O14" s="126"/>
      <c r="P14" s="126"/>
      <c r="Q14" s="126"/>
      <c r="R14" s="126"/>
      <c r="T14" s="126"/>
      <c r="U14" s="126"/>
      <c r="V14" s="126"/>
      <c r="W14" s="126"/>
      <c r="X14" s="126"/>
    </row>
    <row r="15" spans="2:24" s="50" customFormat="1" ht="12" customHeight="1"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N15" s="126"/>
      <c r="O15" s="126"/>
      <c r="P15" s="126"/>
      <c r="Q15" s="126"/>
      <c r="R15" s="126"/>
      <c r="T15" s="126"/>
      <c r="U15" s="126"/>
      <c r="V15" s="126"/>
      <c r="W15" s="126"/>
      <c r="X15" s="126"/>
    </row>
    <row r="16" spans="2:24" s="50" customFormat="1" ht="12" customHeight="1"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N16" s="126"/>
      <c r="O16" s="126"/>
      <c r="P16" s="126"/>
      <c r="Q16" s="126"/>
      <c r="R16" s="126"/>
      <c r="T16" s="126"/>
      <c r="U16" s="126"/>
      <c r="V16" s="126"/>
      <c r="W16" s="126"/>
      <c r="X16" s="126"/>
    </row>
    <row r="17" s="50" customFormat="1" ht="7.5" customHeight="1"/>
    <row r="18" spans="14:27" s="50" customFormat="1" ht="30.75" customHeight="1">
      <c r="N18" s="127" t="s">
        <v>82</v>
      </c>
      <c r="O18" s="128"/>
      <c r="P18" s="128"/>
      <c r="Q18" s="128"/>
      <c r="R18" s="129"/>
      <c r="T18" s="123" t="s">
        <v>85</v>
      </c>
      <c r="U18" s="124"/>
      <c r="V18" s="124"/>
      <c r="W18" s="124"/>
      <c r="X18" s="125"/>
      <c r="Z18" s="130" t="s">
        <v>86</v>
      </c>
      <c r="AA18" s="130"/>
    </row>
    <row r="19" spans="20:27" s="50" customFormat="1" ht="9" customHeight="1">
      <c r="T19" s="111"/>
      <c r="U19" s="112"/>
      <c r="V19" s="112"/>
      <c r="W19" s="112"/>
      <c r="X19" s="113"/>
      <c r="Z19" s="130"/>
      <c r="AA19" s="130"/>
    </row>
    <row r="20" spans="14:24" s="50" customFormat="1" ht="30.75" customHeight="1">
      <c r="N20" s="127" t="s">
        <v>83</v>
      </c>
      <c r="O20" s="128"/>
      <c r="P20" s="128"/>
      <c r="Q20" s="128"/>
      <c r="R20" s="129"/>
      <c r="T20" s="114"/>
      <c r="U20" s="115"/>
      <c r="V20" s="115"/>
      <c r="W20" s="115"/>
      <c r="X20" s="116"/>
    </row>
    <row r="21" s="50" customFormat="1" ht="9" customHeight="1"/>
    <row r="22" spans="14:24" s="50" customFormat="1" ht="30.75" customHeight="1">
      <c r="N22" s="127" t="s">
        <v>84</v>
      </c>
      <c r="O22" s="128"/>
      <c r="P22" s="128"/>
      <c r="Q22" s="128"/>
      <c r="R22" s="129"/>
      <c r="T22" s="123" t="s">
        <v>90</v>
      </c>
      <c r="U22" s="124"/>
      <c r="V22" s="124"/>
      <c r="W22" s="124"/>
      <c r="X22" s="125"/>
    </row>
    <row r="23" spans="20:24" s="50" customFormat="1" ht="9" customHeight="1">
      <c r="T23" s="111"/>
      <c r="U23" s="112"/>
      <c r="V23" s="112"/>
      <c r="W23" s="112"/>
      <c r="X23" s="113"/>
    </row>
    <row r="24" spans="14:24" s="50" customFormat="1" ht="30.75" customHeight="1">
      <c r="N24" s="127" t="s">
        <v>94</v>
      </c>
      <c r="O24" s="128"/>
      <c r="P24" s="128"/>
      <c r="Q24" s="128"/>
      <c r="R24" s="129"/>
      <c r="T24" s="114"/>
      <c r="U24" s="115"/>
      <c r="V24" s="115"/>
      <c r="W24" s="115"/>
      <c r="X24" s="116"/>
    </row>
    <row r="25" s="50" customFormat="1" ht="9" customHeight="1"/>
    <row r="26" spans="14:18" s="50" customFormat="1" ht="30.75" customHeight="1">
      <c r="N26" s="127" t="s">
        <v>96</v>
      </c>
      <c r="O26" s="128"/>
      <c r="P26" s="128"/>
      <c r="Q26" s="128"/>
      <c r="R26" s="129"/>
    </row>
    <row r="27" s="50" customFormat="1" ht="9" customHeight="1"/>
    <row r="28" spans="14:18" s="50" customFormat="1" ht="30.75" customHeight="1">
      <c r="N28" s="127" t="s">
        <v>95</v>
      </c>
      <c r="O28" s="128"/>
      <c r="P28" s="128"/>
      <c r="Q28" s="128"/>
      <c r="R28" s="129"/>
    </row>
    <row r="29" s="50" customFormat="1" ht="11.4"/>
    <row r="30" s="50" customFormat="1" ht="11.4"/>
    <row r="31" s="50" customFormat="1" ht="11.4"/>
    <row r="32" s="50" customFormat="1" ht="11.4"/>
    <row r="33" s="50" customFormat="1" ht="11.4"/>
    <row r="34" s="50" customFormat="1" ht="11.4"/>
    <row r="35" s="50" customFormat="1" ht="11.4"/>
    <row r="36" s="50" customFormat="1" ht="11.4"/>
    <row r="37" s="50" customFormat="1" ht="11.4"/>
    <row r="38" s="50" customFormat="1" ht="11.4"/>
    <row r="39" s="50" customFormat="1" ht="11.4"/>
    <row r="40" s="50" customFormat="1" ht="11.4"/>
    <row r="41" s="50" customFormat="1" ht="11.4"/>
    <row r="42" s="50" customFormat="1" ht="11.4"/>
    <row r="43" s="50" customFormat="1" ht="11.4"/>
    <row r="44" s="50" customFormat="1" ht="11.4"/>
    <row r="45" s="50" customFormat="1" ht="11.4"/>
    <row r="46" s="50" customFormat="1" ht="11.4"/>
    <row r="47" s="50" customFormat="1" ht="11.4"/>
    <row r="48" s="50" customFormat="1" ht="11.4"/>
    <row r="49" s="50" customFormat="1" ht="11.4"/>
    <row r="50" s="50" customFormat="1" ht="11.4"/>
    <row r="51" s="50" customFormat="1" ht="11.4"/>
    <row r="52" s="50" customFormat="1" ht="11.4"/>
    <row r="53" s="50" customFormat="1" ht="11.4"/>
    <row r="54" s="50" customFormat="1" ht="11.4"/>
    <row r="55" s="50" customFormat="1" ht="11.4"/>
    <row r="56" s="50" customFormat="1" ht="11.4"/>
    <row r="57" s="50" customFormat="1" ht="11.4"/>
    <row r="58" s="50" customFormat="1" ht="11.4"/>
    <row r="59" s="50" customFormat="1" ht="11.4"/>
    <row r="60" s="50" customFormat="1" ht="11.4"/>
    <row r="61" s="50" customFormat="1" ht="11.4"/>
    <row r="62" s="50" customFormat="1" ht="11.4"/>
    <row r="63" s="50" customFormat="1" ht="11.4"/>
    <row r="64" s="50" customFormat="1" ht="11.4"/>
    <row r="65" s="50" customFormat="1" ht="11.4"/>
    <row r="66" s="50" customFormat="1" ht="11.4"/>
    <row r="67" s="50" customFormat="1" ht="11.4"/>
    <row r="68" s="50" customFormat="1" ht="11.4"/>
    <row r="69" s="50" customFormat="1" ht="11.4"/>
    <row r="70" s="50" customFormat="1" ht="11.4"/>
    <row r="71" s="50" customFormat="1" ht="11.4"/>
    <row r="72" s="50" customFormat="1" ht="11.4"/>
    <row r="73" s="50" customFormat="1" ht="11.4"/>
    <row r="74" s="50" customFormat="1" ht="11.4"/>
    <row r="75" s="50" customFormat="1" ht="11.4"/>
    <row r="76" s="50" customFormat="1" ht="11.4"/>
    <row r="77" s="50" customFormat="1" ht="11.4"/>
    <row r="78" s="50" customFormat="1" ht="11.4"/>
    <row r="79" s="50" customFormat="1" ht="11.4"/>
    <row r="80" s="50" customFormat="1" ht="11.4"/>
    <row r="81" s="50" customFormat="1" ht="11.4"/>
    <row r="82" s="50" customFormat="1" ht="11.4"/>
    <row r="83" s="50" customFormat="1" ht="11.4"/>
    <row r="84" s="50" customFormat="1" ht="11.4"/>
    <row r="85" s="50" customFormat="1" ht="11.4"/>
    <row r="86" s="50" customFormat="1" ht="11.4"/>
    <row r="87" s="50" customFormat="1" ht="11.4"/>
    <row r="88" s="50" customFormat="1" ht="11.4"/>
    <row r="89" s="50" customFormat="1" ht="11.4"/>
  </sheetData>
  <mergeCells count="14">
    <mergeCell ref="Z18:AA19"/>
    <mergeCell ref="T13:X16"/>
    <mergeCell ref="N26:R26"/>
    <mergeCell ref="N28:R28"/>
    <mergeCell ref="T18:X20"/>
    <mergeCell ref="F6:R11"/>
    <mergeCell ref="F2:R4"/>
    <mergeCell ref="T22:X24"/>
    <mergeCell ref="B13:L16"/>
    <mergeCell ref="N13:R16"/>
    <mergeCell ref="N18:R18"/>
    <mergeCell ref="N20:R20"/>
    <mergeCell ref="N22:R22"/>
    <mergeCell ref="N24:R2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49"/>
  <sheetViews>
    <sheetView workbookViewId="0" topLeftCell="A1"/>
  </sheetViews>
  <sheetFormatPr defaultColWidth="9.140625" defaultRowHeight="15"/>
  <cols>
    <col min="1" max="1" width="1.8515625" style="3" customWidth="1"/>
    <col min="2" max="2" width="38.28125" style="3" customWidth="1"/>
    <col min="3" max="3" width="6.8515625" style="3" bestFit="1" customWidth="1"/>
    <col min="4" max="4" width="2.7109375" style="3" customWidth="1"/>
    <col min="5" max="5" width="37.421875" style="3" customWidth="1"/>
    <col min="6" max="6" width="6.8515625" style="3" bestFit="1" customWidth="1"/>
    <col min="7" max="7" width="2.8515625" style="3" customWidth="1"/>
    <col min="8" max="8" width="42.8515625" style="3" bestFit="1" customWidth="1"/>
    <col min="9" max="9" width="14.00390625" style="3" bestFit="1" customWidth="1"/>
    <col min="10" max="10" width="12.00390625" style="3" bestFit="1" customWidth="1"/>
    <col min="11" max="11" width="16.140625" style="3" bestFit="1" customWidth="1"/>
    <col min="12" max="16384" width="9.140625" style="3" customWidth="1"/>
  </cols>
  <sheetData>
    <row r="1" spans="5:9" s="9" customFormat="1" ht="15">
      <c r="E1" s="74"/>
      <c r="F1" s="75"/>
      <c r="G1" s="75"/>
      <c r="H1" s="75"/>
      <c r="I1" s="75"/>
    </row>
    <row r="2" spans="2:11" ht="12">
      <c r="B2" s="131" t="s">
        <v>20</v>
      </c>
      <c r="C2" s="132"/>
      <c r="E2" s="131" t="s">
        <v>21</v>
      </c>
      <c r="F2" s="132"/>
      <c r="H2" s="131" t="s">
        <v>91</v>
      </c>
      <c r="I2" s="133"/>
      <c r="J2" s="133"/>
      <c r="K2" s="132"/>
    </row>
    <row r="3" spans="2:11" ht="13.5" customHeight="1">
      <c r="B3" s="64" t="s">
        <v>17</v>
      </c>
      <c r="C3" s="65" t="s">
        <v>18</v>
      </c>
      <c r="D3" s="2"/>
      <c r="E3" s="64" t="s">
        <v>17</v>
      </c>
      <c r="F3" s="65" t="s">
        <v>18</v>
      </c>
      <c r="H3" s="56" t="s">
        <v>17</v>
      </c>
      <c r="I3" s="57" t="s">
        <v>4</v>
      </c>
      <c r="J3" s="56" t="s">
        <v>92</v>
      </c>
      <c r="K3" s="56" t="s">
        <v>6</v>
      </c>
    </row>
    <row r="4" spans="2:11" ht="13.5" customHeight="1">
      <c r="B4" s="44" t="s">
        <v>0</v>
      </c>
      <c r="C4" s="68">
        <v>912</v>
      </c>
      <c r="D4" s="2"/>
      <c r="E4" s="44" t="s">
        <v>0</v>
      </c>
      <c r="F4" s="68">
        <v>912</v>
      </c>
      <c r="H4" s="19" t="s">
        <v>8</v>
      </c>
      <c r="I4" s="88">
        <v>4.01</v>
      </c>
      <c r="J4" s="88">
        <v>0</v>
      </c>
      <c r="K4" s="89">
        <v>0</v>
      </c>
    </row>
    <row r="5" spans="2:11" ht="12">
      <c r="B5" s="45" t="s">
        <v>14</v>
      </c>
      <c r="C5" s="69">
        <v>200</v>
      </c>
      <c r="D5" s="2"/>
      <c r="E5" s="45" t="s">
        <v>22</v>
      </c>
      <c r="F5" s="69">
        <v>80</v>
      </c>
      <c r="H5" s="22" t="s">
        <v>9</v>
      </c>
      <c r="I5" s="90">
        <v>0</v>
      </c>
      <c r="J5" s="90">
        <f>468/12/1.3</f>
        <v>30</v>
      </c>
      <c r="K5" s="91">
        <v>38</v>
      </c>
    </row>
    <row r="6" spans="2:11" ht="12">
      <c r="B6" s="45" t="s">
        <v>26</v>
      </c>
      <c r="C6" s="70">
        <v>0.8</v>
      </c>
      <c r="D6" s="2"/>
      <c r="E6" s="45" t="s">
        <v>26</v>
      </c>
      <c r="F6" s="80">
        <v>0.8</v>
      </c>
      <c r="H6" s="73" t="s">
        <v>110</v>
      </c>
      <c r="I6" s="83">
        <v>24</v>
      </c>
      <c r="J6" s="83">
        <v>24</v>
      </c>
      <c r="K6" s="84">
        <v>24</v>
      </c>
    </row>
    <row r="7" spans="2:9" ht="13.5" customHeight="1">
      <c r="B7" s="45" t="s">
        <v>2</v>
      </c>
      <c r="C7" s="69">
        <v>4</v>
      </c>
      <c r="D7" s="2"/>
      <c r="E7" s="45" t="s">
        <v>32</v>
      </c>
      <c r="F7" s="69">
        <v>40</v>
      </c>
      <c r="I7" s="75"/>
    </row>
    <row r="8" spans="2:9" ht="12">
      <c r="B8" s="45" t="s">
        <v>1</v>
      </c>
      <c r="C8" s="82">
        <f>'Custos (resultados simulação)'!C6/C7</f>
        <v>6</v>
      </c>
      <c r="D8" s="2"/>
      <c r="E8" s="45" t="s">
        <v>28</v>
      </c>
      <c r="F8" s="69">
        <v>5</v>
      </c>
      <c r="H8" s="54" t="s">
        <v>93</v>
      </c>
      <c r="I8" s="57" t="s">
        <v>18</v>
      </c>
    </row>
    <row r="9" spans="2:9" ht="12">
      <c r="B9" s="45" t="s">
        <v>3</v>
      </c>
      <c r="C9" s="82">
        <v>3</v>
      </c>
      <c r="D9" s="2"/>
      <c r="E9" s="5" t="s">
        <v>34</v>
      </c>
      <c r="F9" s="6"/>
      <c r="H9" s="63" t="s">
        <v>78</v>
      </c>
      <c r="I9" s="85">
        <v>7.65</v>
      </c>
    </row>
    <row r="10" spans="2:9" ht="12">
      <c r="B10" s="45" t="s">
        <v>7</v>
      </c>
      <c r="C10" s="69">
        <v>16</v>
      </c>
      <c r="D10" s="2"/>
      <c r="E10" s="45" t="s">
        <v>37</v>
      </c>
      <c r="F10" s="82">
        <f>F4/F8</f>
        <v>182.4</v>
      </c>
      <c r="H10" s="48" t="s">
        <v>79</v>
      </c>
      <c r="I10" s="86">
        <v>196772.63</v>
      </c>
    </row>
    <row r="11" spans="2:6" ht="12">
      <c r="B11" s="45" t="s">
        <v>39</v>
      </c>
      <c r="C11" s="69">
        <v>12</v>
      </c>
      <c r="D11" s="2"/>
      <c r="E11" s="45" t="s">
        <v>27</v>
      </c>
      <c r="F11" s="82">
        <f>F5*F6</f>
        <v>64</v>
      </c>
    </row>
    <row r="12" spans="2:6" ht="12">
      <c r="B12" s="45" t="s">
        <v>51</v>
      </c>
      <c r="C12" s="71">
        <v>36</v>
      </c>
      <c r="D12" s="2"/>
      <c r="E12" s="45" t="s">
        <v>48</v>
      </c>
      <c r="F12" s="82">
        <f>F7*4.2*C10</f>
        <v>2688</v>
      </c>
    </row>
    <row r="13" spans="2:7" ht="12">
      <c r="B13" s="5" t="s">
        <v>34</v>
      </c>
      <c r="C13" s="6"/>
      <c r="D13" s="2"/>
      <c r="E13" s="45" t="s">
        <v>36</v>
      </c>
      <c r="F13" s="82">
        <f>ROUNDUP(F23/F12,0)</f>
        <v>5</v>
      </c>
      <c r="G13" s="77"/>
    </row>
    <row r="14" spans="2:10" ht="12">
      <c r="B14" s="45" t="s">
        <v>70</v>
      </c>
      <c r="C14" s="82">
        <f>C5*C6*(C4/C8)</f>
        <v>24320</v>
      </c>
      <c r="D14" s="2"/>
      <c r="E14" s="45"/>
      <c r="F14" s="82"/>
      <c r="G14" s="106"/>
      <c r="J14" s="106"/>
    </row>
    <row r="15" spans="2:10" ht="12">
      <c r="B15" s="45" t="s">
        <v>12</v>
      </c>
      <c r="C15" s="82">
        <f>C4*C7</f>
        <v>3648</v>
      </c>
      <c r="D15" s="2"/>
      <c r="E15" s="45" t="s">
        <v>35</v>
      </c>
      <c r="F15" s="82">
        <f>F12/F11</f>
        <v>42</v>
      </c>
      <c r="G15" s="106"/>
      <c r="J15" s="106"/>
    </row>
    <row r="16" spans="2:10" ht="12">
      <c r="B16" s="45" t="s">
        <v>11</v>
      </c>
      <c r="C16" s="82">
        <f>ROUNDUP(C4/C8,0)</f>
        <v>152</v>
      </c>
      <c r="D16" s="10"/>
      <c r="E16" s="5" t="s">
        <v>49</v>
      </c>
      <c r="F16" s="87"/>
      <c r="G16" s="106"/>
      <c r="J16" s="106"/>
    </row>
    <row r="17" spans="2:10" ht="12">
      <c r="B17" s="45" t="s">
        <v>31</v>
      </c>
      <c r="C17" s="82">
        <f>C12*4.2</f>
        <v>151.20000000000002</v>
      </c>
      <c r="D17" s="2"/>
      <c r="E17" s="45" t="s">
        <v>33</v>
      </c>
      <c r="F17" s="82">
        <f>F5*(1-F6)</f>
        <v>15.999999999999996</v>
      </c>
      <c r="G17" s="106"/>
      <c r="J17" s="106"/>
    </row>
    <row r="18" spans="2:10" ht="12">
      <c r="B18" s="45" t="s">
        <v>73</v>
      </c>
      <c r="C18" s="82">
        <f>C17*C10</f>
        <v>2419.2000000000003</v>
      </c>
      <c r="D18" s="2"/>
      <c r="E18" s="45" t="s">
        <v>50</v>
      </c>
      <c r="F18" s="82">
        <f>F17*F4</f>
        <v>14591.999999999996</v>
      </c>
      <c r="G18" s="106"/>
      <c r="J18" s="106"/>
    </row>
    <row r="19" spans="2:10" ht="12">
      <c r="B19" s="45" t="s">
        <v>74</v>
      </c>
      <c r="C19" s="82">
        <f>ROUNDUP(C14/C18,0)</f>
        <v>11</v>
      </c>
      <c r="D19" s="2"/>
      <c r="E19" s="45" t="s">
        <v>48</v>
      </c>
      <c r="F19" s="82">
        <f>F7*4.2*C10</f>
        <v>2688</v>
      </c>
      <c r="G19" s="106"/>
      <c r="J19" s="106"/>
    </row>
    <row r="20" spans="2:10" ht="12">
      <c r="B20" s="5" t="s">
        <v>34</v>
      </c>
      <c r="C20" s="6"/>
      <c r="D20" s="2"/>
      <c r="E20" s="45" t="s">
        <v>75</v>
      </c>
      <c r="F20" s="82">
        <f>ROUNDUP(F18/F19,0)</f>
        <v>6</v>
      </c>
      <c r="G20" s="106"/>
      <c r="J20" s="106"/>
    </row>
    <row r="21" spans="2:10" ht="12">
      <c r="B21" s="45" t="s">
        <v>76</v>
      </c>
      <c r="C21" s="81">
        <f>C5*(1-C6)*(C4)</f>
        <v>36479.99999999999</v>
      </c>
      <c r="D21" s="2"/>
      <c r="E21" s="45"/>
      <c r="F21" s="82"/>
      <c r="G21" s="106"/>
      <c r="J21" s="106"/>
    </row>
    <row r="22" spans="2:10" ht="12">
      <c r="B22" s="45" t="s">
        <v>77</v>
      </c>
      <c r="C22" s="82">
        <f>ROUNDUP(C21/C18,0)</f>
        <v>16</v>
      </c>
      <c r="D22" s="2"/>
      <c r="E22" s="45" t="s">
        <v>23</v>
      </c>
      <c r="F22" s="82">
        <f>SUM(F23:F24)</f>
        <v>26265.6</v>
      </c>
      <c r="G22" s="106"/>
      <c r="J22" s="106"/>
    </row>
    <row r="23" spans="2:10" ht="12">
      <c r="B23" s="45" t="s">
        <v>76</v>
      </c>
      <c r="C23" s="82">
        <f>C5*(1-C6)</f>
        <v>39.99999999999999</v>
      </c>
      <c r="D23" s="1"/>
      <c r="E23" s="45" t="s">
        <v>24</v>
      </c>
      <c r="F23" s="82">
        <f>F10*F11</f>
        <v>11673.6</v>
      </c>
      <c r="G23" s="106"/>
      <c r="J23" s="106"/>
    </row>
    <row r="24" spans="2:10" ht="12">
      <c r="B24" s="46"/>
      <c r="C24" s="82"/>
      <c r="D24" s="1"/>
      <c r="E24" s="45" t="s">
        <v>25</v>
      </c>
      <c r="F24" s="82">
        <f>F5*(1-F6)*F4</f>
        <v>14591.999999999996</v>
      </c>
      <c r="G24" s="106"/>
      <c r="J24" s="106"/>
    </row>
    <row r="25" spans="2:10" ht="12">
      <c r="B25" s="45" t="s">
        <v>15</v>
      </c>
      <c r="C25" s="72">
        <v>30</v>
      </c>
      <c r="D25" s="1"/>
      <c r="E25" s="45" t="s">
        <v>97</v>
      </c>
      <c r="F25" s="72">
        <v>45</v>
      </c>
      <c r="G25" s="106"/>
      <c r="J25" s="106"/>
    </row>
    <row r="26" spans="2:10" ht="12">
      <c r="B26" s="47" t="s">
        <v>13</v>
      </c>
      <c r="C26" s="105">
        <f>C25*(1.23)</f>
        <v>36.9</v>
      </c>
      <c r="D26" s="1"/>
      <c r="E26" s="47" t="s">
        <v>98</v>
      </c>
      <c r="F26" s="105">
        <f>F25*1.23</f>
        <v>55.35</v>
      </c>
      <c r="G26" s="106"/>
      <c r="J26" s="106"/>
    </row>
    <row r="27" spans="2:10" ht="12" customHeight="1">
      <c r="B27" s="109" t="s">
        <v>16</v>
      </c>
      <c r="C27" s="107"/>
      <c r="D27" s="1"/>
      <c r="E27" s="110" t="s">
        <v>63</v>
      </c>
      <c r="F27" s="108"/>
      <c r="G27" s="106"/>
      <c r="J27" s="106"/>
    </row>
    <row r="28" ht="12">
      <c r="J28" s="106"/>
    </row>
    <row r="29" ht="12">
      <c r="J29" s="106"/>
    </row>
    <row r="31" ht="15">
      <c r="I31" s="75"/>
    </row>
    <row r="32" ht="15">
      <c r="I32" s="75"/>
    </row>
    <row r="33" ht="15">
      <c r="I33" s="75"/>
    </row>
    <row r="34" spans="7:9" ht="12">
      <c r="G34" s="79"/>
      <c r="H34" s="79"/>
      <c r="I34" s="75"/>
    </row>
    <row r="35" spans="4:9" ht="12">
      <c r="D35" s="4"/>
      <c r="E35" s="76"/>
      <c r="F35" s="77"/>
      <c r="G35" s="77"/>
      <c r="H35" s="77"/>
      <c r="I35" s="75"/>
    </row>
    <row r="36" spans="5:9" ht="12">
      <c r="E36" s="78"/>
      <c r="F36" s="79"/>
      <c r="G36" s="79"/>
      <c r="H36" s="79"/>
      <c r="I36" s="75"/>
    </row>
    <row r="37" spans="7:9" ht="15">
      <c r="G37" s="75"/>
      <c r="I37" s="75"/>
    </row>
    <row r="38" spans="7:9" ht="15">
      <c r="G38" s="75"/>
      <c r="I38" s="75"/>
    </row>
    <row r="39" spans="7:9" ht="15">
      <c r="G39" s="75"/>
      <c r="I39" s="75"/>
    </row>
    <row r="40" ht="15">
      <c r="I40" s="75"/>
    </row>
    <row r="41" ht="15">
      <c r="I41" s="75"/>
    </row>
    <row r="42" ht="15">
      <c r="I42" s="75"/>
    </row>
    <row r="43" ht="15">
      <c r="I43" s="75"/>
    </row>
    <row r="44" ht="15">
      <c r="I44" s="75"/>
    </row>
    <row r="45" ht="15">
      <c r="I45" s="75"/>
    </row>
    <row r="46" spans="5:9" ht="12">
      <c r="E46" s="78"/>
      <c r="F46" s="79"/>
      <c r="G46" s="79"/>
      <c r="H46" s="79"/>
      <c r="I46" s="75"/>
    </row>
    <row r="47" spans="5:9" ht="12">
      <c r="E47" s="78"/>
      <c r="F47" s="79"/>
      <c r="G47" s="79"/>
      <c r="H47" s="79"/>
      <c r="I47" s="75"/>
    </row>
    <row r="48" spans="5:9" ht="12">
      <c r="E48" s="92"/>
      <c r="F48" s="79"/>
      <c r="G48" s="79"/>
      <c r="H48" s="79"/>
      <c r="I48" s="75"/>
    </row>
    <row r="49" spans="5:9" ht="15">
      <c r="E49" s="75"/>
      <c r="F49" s="75"/>
      <c r="G49" s="75"/>
      <c r="H49" s="75"/>
      <c r="I49" s="75"/>
    </row>
  </sheetData>
  <mergeCells count="3">
    <mergeCell ref="E2:F2"/>
    <mergeCell ref="B2:C2"/>
    <mergeCell ref="H2:K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2"/>
  <sheetViews>
    <sheetView workbookViewId="0" topLeftCell="A1"/>
  </sheetViews>
  <sheetFormatPr defaultColWidth="9.140625" defaultRowHeight="15"/>
  <cols>
    <col min="1" max="1" width="9.140625" style="3" customWidth="1"/>
    <col min="2" max="2" width="38.421875" style="3" bestFit="1" customWidth="1"/>
    <col min="3" max="5" width="16.8515625" style="3" customWidth="1"/>
    <col min="6" max="16384" width="9.140625" style="3" customWidth="1"/>
  </cols>
  <sheetData>
    <row r="1" s="9" customFormat="1" ht="15">
      <c r="B1" s="18"/>
    </row>
    <row r="2" spans="2:5" ht="12">
      <c r="B2" s="134" t="s">
        <v>55</v>
      </c>
      <c r="C2" s="135"/>
      <c r="D2" s="135"/>
      <c r="E2" s="136"/>
    </row>
    <row r="3" spans="2:5" ht="12">
      <c r="B3" s="56" t="s">
        <v>17</v>
      </c>
      <c r="C3" s="57" t="s">
        <v>4</v>
      </c>
      <c r="D3" s="56" t="s">
        <v>5</v>
      </c>
      <c r="E3" s="56" t="s">
        <v>6</v>
      </c>
    </row>
    <row r="4" spans="2:5" ht="12">
      <c r="B4" s="19" t="s">
        <v>8</v>
      </c>
      <c r="C4" s="20">
        <f>+'Parâmetros simulação'!I4</f>
        <v>4.01</v>
      </c>
      <c r="D4" s="20">
        <f>+'Parâmetros simulação'!J4</f>
        <v>0</v>
      </c>
      <c r="E4" s="21">
        <f>+'Parâmetros simulação'!K4</f>
        <v>0</v>
      </c>
    </row>
    <row r="5" spans="2:5" ht="12">
      <c r="B5" s="22" t="s">
        <v>9</v>
      </c>
      <c r="C5" s="23">
        <f>+'Parâmetros simulação'!I5</f>
        <v>0</v>
      </c>
      <c r="D5" s="23">
        <f>+'Parâmetros simulação'!J5</f>
        <v>30</v>
      </c>
      <c r="E5" s="24">
        <f>+'Parâmetros simulação'!K5</f>
        <v>38</v>
      </c>
    </row>
    <row r="6" spans="2:5" ht="12">
      <c r="B6" s="22" t="s">
        <v>10</v>
      </c>
      <c r="C6" s="25">
        <f>+'Parâmetros simulação'!I6</f>
        <v>24</v>
      </c>
      <c r="D6" s="25">
        <f>+'Parâmetros simulação'!J6</f>
        <v>24</v>
      </c>
      <c r="E6" s="26">
        <f>+'Parâmetros simulação'!K6</f>
        <v>24</v>
      </c>
    </row>
    <row r="7" spans="2:5" ht="13.5" customHeight="1">
      <c r="B7" s="22"/>
      <c r="C7" s="25"/>
      <c r="D7" s="25"/>
      <c r="E7" s="26"/>
    </row>
    <row r="8" spans="2:5" ht="12">
      <c r="B8" s="22" t="s">
        <v>1</v>
      </c>
      <c r="C8" s="25">
        <f>C6/'Parâmetros simulação'!$C$7</f>
        <v>6</v>
      </c>
      <c r="D8" s="25">
        <f>D6/'Parâmetros simulação'!$C$7</f>
        <v>6</v>
      </c>
      <c r="E8" s="26">
        <f>E6/'Parâmetros simulação'!$C$7</f>
        <v>6</v>
      </c>
    </row>
    <row r="9" spans="2:5" ht="12">
      <c r="B9" s="22" t="s">
        <v>52</v>
      </c>
      <c r="C9" s="27">
        <f>'Parâmetros simulação'!C15*ROUNDUP(('Parâmetros simulação'!C5*'Parâmetros simulação'!C6)/'Parâmetros simulação'!C11/4.2,0)</f>
        <v>14592</v>
      </c>
      <c r="D9" s="27">
        <f>'Parâmetros simulação'!$C$19*'Parâmetros simulação'!C10</f>
        <v>176</v>
      </c>
      <c r="E9" s="28">
        <f>'Parâmetros simulação'!$C$19*'Parâmetros simulação'!C10</f>
        <v>176</v>
      </c>
    </row>
    <row r="10" spans="2:5" ht="12">
      <c r="B10" s="22" t="s">
        <v>66</v>
      </c>
      <c r="C10" s="23">
        <f>C9*C4</f>
        <v>58513.92</v>
      </c>
      <c r="D10" s="23">
        <f>D9*D5</f>
        <v>5280</v>
      </c>
      <c r="E10" s="24">
        <f>E9*E5</f>
        <v>6688</v>
      </c>
    </row>
    <row r="11" spans="2:5" ht="12">
      <c r="B11" s="22"/>
      <c r="C11" s="23"/>
      <c r="D11" s="23"/>
      <c r="E11" s="24"/>
    </row>
    <row r="12" spans="2:6" ht="12">
      <c r="B12" s="22" t="s">
        <v>68</v>
      </c>
      <c r="C12" s="23">
        <f>'Parâmetros simulação'!$C$26*'Parâmetros simulação'!$C$14</f>
        <v>897408</v>
      </c>
      <c r="D12" s="23">
        <f>'Parâmetros simulação'!$C$26*'Parâmetros simulação'!$C$14</f>
        <v>897408</v>
      </c>
      <c r="E12" s="24">
        <f>'Parâmetros simulação'!$C$26*'Parâmetros simulação'!$C$14</f>
        <v>897408</v>
      </c>
      <c r="F12" s="41"/>
    </row>
    <row r="13" spans="2:6" ht="12">
      <c r="B13" s="11" t="s">
        <v>69</v>
      </c>
      <c r="C13" s="7">
        <f>(C10+C12)</f>
        <v>955921.92</v>
      </c>
      <c r="D13" s="7">
        <f>(D10+D12)</f>
        <v>902688</v>
      </c>
      <c r="E13" s="8">
        <f>(E10+E12)</f>
        <v>904096</v>
      </c>
      <c r="F13" s="41"/>
    </row>
    <row r="14" spans="2:6" ht="12">
      <c r="B14" s="29" t="s">
        <v>71</v>
      </c>
      <c r="C14" s="30">
        <f>C13/'Parâmetros simulação'!$C$4</f>
        <v>1048.16</v>
      </c>
      <c r="D14" s="30">
        <f>D13/'Parâmetros simulação'!$C$4</f>
        <v>989.7894736842105</v>
      </c>
      <c r="E14" s="31">
        <f>E13/'Parâmetros simulação'!$C$4</f>
        <v>991.3333333333334</v>
      </c>
      <c r="F14" s="41"/>
    </row>
    <row r="15" spans="2:6" ht="12">
      <c r="B15" s="29" t="s">
        <v>57</v>
      </c>
      <c r="C15" s="30">
        <f>C13/'Parâmetros simulação'!$C$14</f>
        <v>39.306000000000004</v>
      </c>
      <c r="D15" s="30">
        <f>D13/'Parâmetros simulação'!$C$14</f>
        <v>37.117105263157896</v>
      </c>
      <c r="E15" s="31">
        <f>E13/'Parâmetros simulação'!$C$14</f>
        <v>37.175</v>
      </c>
      <c r="F15" s="41"/>
    </row>
    <row r="16" spans="2:6" ht="12">
      <c r="B16" s="11" t="s">
        <v>72</v>
      </c>
      <c r="C16" s="7">
        <f>'Parâmetros simulação'!$C$26*'Parâmetros simulação'!$C$21</f>
        <v>1346111.9999999998</v>
      </c>
      <c r="D16" s="7">
        <f>'Parâmetros simulação'!$C$26*'Parâmetros simulação'!$C$21</f>
        <v>1346111.9999999998</v>
      </c>
      <c r="E16" s="8">
        <f>'Parâmetros simulação'!$C$26*'Parâmetros simulação'!$C$21</f>
        <v>1346111.9999999998</v>
      </c>
      <c r="F16" s="41"/>
    </row>
    <row r="17" spans="2:6" ht="12">
      <c r="B17" s="29" t="s">
        <v>43</v>
      </c>
      <c r="C17" s="30">
        <f>C16/'Parâmetros simulação'!$C$4</f>
        <v>1475.9999999999998</v>
      </c>
      <c r="D17" s="30">
        <f>D16/'Parâmetros simulação'!$C$4</f>
        <v>1475.9999999999998</v>
      </c>
      <c r="E17" s="31">
        <f>E16/'Parâmetros simulação'!$C$4</f>
        <v>1475.9999999999998</v>
      </c>
      <c r="F17" s="41"/>
    </row>
    <row r="18" spans="2:6" ht="12">
      <c r="B18" s="29" t="s">
        <v>44</v>
      </c>
      <c r="C18" s="30">
        <f>C16/'Parâmetros simulação'!$C$21</f>
        <v>36.9</v>
      </c>
      <c r="D18" s="30">
        <f>D16/'Parâmetros simulação'!$C$21</f>
        <v>36.9</v>
      </c>
      <c r="E18" s="31">
        <f>E16/'Parâmetros simulação'!$C$21</f>
        <v>36.9</v>
      </c>
      <c r="F18" s="41"/>
    </row>
    <row r="19" spans="2:6" ht="12">
      <c r="B19" s="11" t="s">
        <v>47</v>
      </c>
      <c r="C19" s="7">
        <f>'Parâmetros simulação'!$C$21*'Parâmetros simulação'!$I$9</f>
        <v>279071.99999999994</v>
      </c>
      <c r="D19" s="7">
        <f>'Parâmetros simulação'!$C$21*'Parâmetros simulação'!$I$9</f>
        <v>279071.99999999994</v>
      </c>
      <c r="E19" s="8">
        <f>'Parâmetros simulação'!$C$21*'Parâmetros simulação'!$I$9</f>
        <v>279071.99999999994</v>
      </c>
      <c r="F19" s="41"/>
    </row>
    <row r="20" spans="2:6" ht="12">
      <c r="B20" s="29" t="s">
        <v>45</v>
      </c>
      <c r="C20" s="30">
        <f>C19/'Parâmetros simulação'!$C$4</f>
        <v>305.99999999999994</v>
      </c>
      <c r="D20" s="30">
        <f>D19/'Parâmetros simulação'!$C$4</f>
        <v>305.99999999999994</v>
      </c>
      <c r="E20" s="31">
        <f>E19/'Parâmetros simulação'!$C$4</f>
        <v>305.99999999999994</v>
      </c>
      <c r="F20" s="41"/>
    </row>
    <row r="21" spans="2:6" ht="12">
      <c r="B21" s="34" t="s">
        <v>56</v>
      </c>
      <c r="C21" s="35">
        <f>C19/'Parâmetros simulação'!$C$21</f>
        <v>7.65</v>
      </c>
      <c r="D21" s="35">
        <f>D19/'Parâmetros simulação'!$C$21</f>
        <v>7.65</v>
      </c>
      <c r="E21" s="36">
        <f>E19/'Parâmetros simulação'!$C$21</f>
        <v>7.65</v>
      </c>
      <c r="F21" s="41"/>
    </row>
    <row r="22" ht="15">
      <c r="F22" s="41"/>
    </row>
    <row r="23" spans="2:6" ht="12">
      <c r="B23" s="137" t="s">
        <v>54</v>
      </c>
      <c r="C23" s="138"/>
      <c r="D23" s="138"/>
      <c r="E23" s="139"/>
      <c r="F23" s="41"/>
    </row>
    <row r="24" spans="2:6" ht="12">
      <c r="B24" s="54" t="s">
        <v>17</v>
      </c>
      <c r="C24" s="55" t="s">
        <v>4</v>
      </c>
      <c r="D24" s="55" t="s">
        <v>5</v>
      </c>
      <c r="E24" s="55" t="s">
        <v>6</v>
      </c>
      <c r="F24" s="41"/>
    </row>
    <row r="25" spans="2:6" ht="12">
      <c r="B25" s="19" t="s">
        <v>8</v>
      </c>
      <c r="C25" s="23">
        <v>4.01</v>
      </c>
      <c r="D25" s="23">
        <v>0</v>
      </c>
      <c r="E25" s="24">
        <v>0</v>
      </c>
      <c r="F25" s="41"/>
    </row>
    <row r="26" spans="2:6" ht="12">
      <c r="B26" s="22" t="s">
        <v>9</v>
      </c>
      <c r="C26" s="23">
        <v>0</v>
      </c>
      <c r="D26" s="23">
        <f>468/12/1.3</f>
        <v>30</v>
      </c>
      <c r="E26" s="24">
        <v>38</v>
      </c>
      <c r="F26" s="41"/>
    </row>
    <row r="27" spans="2:5" ht="12">
      <c r="B27" s="22" t="s">
        <v>29</v>
      </c>
      <c r="C27" s="25">
        <v>24</v>
      </c>
      <c r="D27" s="25">
        <v>24</v>
      </c>
      <c r="E27" s="26">
        <v>24</v>
      </c>
    </row>
    <row r="28" spans="2:5" ht="12">
      <c r="B28" s="22"/>
      <c r="C28" s="25"/>
      <c r="D28" s="25"/>
      <c r="E28" s="26"/>
    </row>
    <row r="29" spans="2:5" ht="12">
      <c r="B29" s="22" t="s">
        <v>30</v>
      </c>
      <c r="C29" s="32">
        <f>'Parâmetros simulação'!F8</f>
        <v>5</v>
      </c>
      <c r="D29" s="32">
        <f>'Parâmetros simulação'!F8</f>
        <v>5</v>
      </c>
      <c r="E29" s="33">
        <f>'Parâmetros simulação'!F8</f>
        <v>5</v>
      </c>
    </row>
    <row r="30" spans="2:5" ht="12">
      <c r="B30" s="22" t="s">
        <v>61</v>
      </c>
      <c r="C30" s="27">
        <f>'Parâmetros simulação'!F13*'Parâmetros simulação'!F8</f>
        <v>25</v>
      </c>
      <c r="D30" s="27">
        <f>'Parâmetros simulação'!F13</f>
        <v>5</v>
      </c>
      <c r="E30" s="28">
        <f>'Parâmetros simulação'!F13</f>
        <v>5</v>
      </c>
    </row>
    <row r="31" spans="2:5" ht="12">
      <c r="B31" s="22" t="s">
        <v>53</v>
      </c>
      <c r="C31" s="23">
        <f>C25*C30*'Parâmetros simulação'!C10</f>
        <v>1604</v>
      </c>
      <c r="D31" s="23">
        <f>D30*D26*'Parâmetros simulação'!C10</f>
        <v>2400</v>
      </c>
      <c r="E31" s="24">
        <f>E26*E30*'Parâmetros simulação'!C10</f>
        <v>3040</v>
      </c>
    </row>
    <row r="32" spans="2:5" ht="12">
      <c r="B32" s="22"/>
      <c r="C32" s="23"/>
      <c r="D32" s="23"/>
      <c r="E32" s="24"/>
    </row>
    <row r="33" spans="2:5" ht="12">
      <c r="B33" s="22" t="s">
        <v>46</v>
      </c>
      <c r="C33" s="23">
        <f>'Parâmetros simulação'!$F$26*'Parâmetros simulação'!$F$23</f>
        <v>646133.76</v>
      </c>
      <c r="D33" s="23">
        <f>'Parâmetros simulação'!$F$26*'Parâmetros simulação'!$F$23</f>
        <v>646133.76</v>
      </c>
      <c r="E33" s="24">
        <f>'Parâmetros simulação'!$F$26*'Parâmetros simulação'!$F$23</f>
        <v>646133.76</v>
      </c>
    </row>
    <row r="34" spans="2:5" ht="12">
      <c r="B34" s="11" t="s">
        <v>38</v>
      </c>
      <c r="C34" s="7">
        <f>(C31+C33)</f>
        <v>647737.76</v>
      </c>
      <c r="D34" s="7">
        <f>(D31+D33)</f>
        <v>648533.76</v>
      </c>
      <c r="E34" s="8">
        <f>(E31+E33)</f>
        <v>649173.76</v>
      </c>
    </row>
    <row r="35" spans="2:5" ht="12">
      <c r="B35" s="29" t="s">
        <v>41</v>
      </c>
      <c r="C35" s="30">
        <f>C34/'Parâmetros simulação'!$C$4</f>
        <v>710.2387719298246</v>
      </c>
      <c r="D35" s="30">
        <f>D34/'Parâmetros simulação'!$C$4</f>
        <v>711.1115789473685</v>
      </c>
      <c r="E35" s="31">
        <f>E34/'Parâmetros simulação'!$C$4</f>
        <v>711.8133333333334</v>
      </c>
    </row>
    <row r="36" spans="2:5" ht="12">
      <c r="B36" s="29" t="s">
        <v>42</v>
      </c>
      <c r="C36" s="30">
        <f>C34/'Parâmetros simulação'!$F$23</f>
        <v>55.48740405701754</v>
      </c>
      <c r="D36" s="30">
        <f>D34/'Parâmetros simulação'!$F$23</f>
        <v>55.55559210526316</v>
      </c>
      <c r="E36" s="31">
        <f>E34/'Parâmetros simulação'!$F$23</f>
        <v>55.610416666666666</v>
      </c>
    </row>
    <row r="37" spans="2:5" ht="12">
      <c r="B37" s="11" t="s">
        <v>40</v>
      </c>
      <c r="C37" s="7">
        <f>'Parâmetros simulação'!$F$24*'Parâmetros simulação'!$F$26</f>
        <v>807667.1999999998</v>
      </c>
      <c r="D37" s="7">
        <f>'Parâmetros simulação'!$F$24*'Parâmetros simulação'!$F$26</f>
        <v>807667.1999999998</v>
      </c>
      <c r="E37" s="8">
        <f>'Parâmetros simulação'!$F$24*'Parâmetros simulação'!$F$26</f>
        <v>807667.1999999998</v>
      </c>
    </row>
    <row r="38" spans="2:5" ht="12">
      <c r="B38" s="29" t="s">
        <v>43</v>
      </c>
      <c r="C38" s="30">
        <f>C37/'Parâmetros simulação'!$C$4</f>
        <v>885.5999999999998</v>
      </c>
      <c r="D38" s="30">
        <f>D37/'Parâmetros simulação'!$C$4</f>
        <v>885.5999999999998</v>
      </c>
      <c r="E38" s="31">
        <f>E37/'Parâmetros simulação'!$C$4</f>
        <v>885.5999999999998</v>
      </c>
    </row>
    <row r="39" spans="2:5" ht="12">
      <c r="B39" s="29" t="s">
        <v>44</v>
      </c>
      <c r="C39" s="30">
        <f>C37/'Parâmetros simulação'!$F$24</f>
        <v>55.35</v>
      </c>
      <c r="D39" s="30">
        <f>D37/'Parâmetros simulação'!$F$24</f>
        <v>55.35</v>
      </c>
      <c r="E39" s="31">
        <f>E37/'Parâmetros simulação'!$F$24</f>
        <v>55.35</v>
      </c>
    </row>
    <row r="40" spans="2:5" ht="12">
      <c r="B40" s="11" t="s">
        <v>47</v>
      </c>
      <c r="C40" s="7">
        <f>'Parâmetros simulação'!$F$18*'Parâmetros simulação'!$I$9</f>
        <v>111628.79999999997</v>
      </c>
      <c r="D40" s="7">
        <f>'Parâmetros simulação'!$F$18*'Parâmetros simulação'!$I$9</f>
        <v>111628.79999999997</v>
      </c>
      <c r="E40" s="7">
        <f>'Parâmetros simulação'!$F$18*'Parâmetros simulação'!$I$9</f>
        <v>111628.79999999997</v>
      </c>
    </row>
    <row r="41" spans="2:5" ht="12">
      <c r="B41" s="29" t="s">
        <v>45</v>
      </c>
      <c r="C41" s="30">
        <f>C40/'Parâmetros simulação'!$C$4</f>
        <v>122.39999999999998</v>
      </c>
      <c r="D41" s="30">
        <f>D40/'Parâmetros simulação'!$C$4</f>
        <v>122.39999999999998</v>
      </c>
      <c r="E41" s="31">
        <f>E40/'Parâmetros simulação'!$C$4</f>
        <v>122.39999999999998</v>
      </c>
    </row>
    <row r="42" spans="2:5" ht="12">
      <c r="B42" s="34" t="s">
        <v>56</v>
      </c>
      <c r="C42" s="35">
        <f>C40/'Parâmetros simulação'!$F$24</f>
        <v>7.65</v>
      </c>
      <c r="D42" s="35">
        <f>D40/'Parâmetros simulação'!$F$24</f>
        <v>7.65</v>
      </c>
      <c r="E42" s="36">
        <f>E40/'Parâmetros simulação'!$F$24</f>
        <v>7.65</v>
      </c>
    </row>
    <row r="44" spans="2:5" ht="12">
      <c r="B44" s="55" t="s">
        <v>60</v>
      </c>
      <c r="C44" s="58">
        <f>C13+C34+C37+C40+C16+C19</f>
        <v>4148139.6799999997</v>
      </c>
      <c r="D44" s="58">
        <f>D13+D34+D37+D40+D16+D19</f>
        <v>4095701.76</v>
      </c>
      <c r="E44" s="58">
        <f>E13+E34+E37+E40+E16+E19</f>
        <v>4097749.76</v>
      </c>
    </row>
    <row r="45" spans="2:5" ht="12">
      <c r="B45" s="29" t="s">
        <v>58</v>
      </c>
      <c r="C45" s="37">
        <f>C44/'Parâmetros simulação'!$C$4</f>
        <v>4548.398771929824</v>
      </c>
      <c r="D45" s="38">
        <f>D44/'Parâmetros simulação'!$C$4</f>
        <v>4490.901052631579</v>
      </c>
      <c r="E45" s="39">
        <f>E44/'Parâmetros simulação'!$C$4</f>
        <v>4493.1466666666665</v>
      </c>
    </row>
    <row r="46" spans="2:5" ht="12">
      <c r="B46" s="34" t="s">
        <v>59</v>
      </c>
      <c r="C46" s="40">
        <f>C44/('Parâmetros simulação'!C14+'Parâmetros simulação'!$F$22)</f>
        <v>82.00238170546558</v>
      </c>
      <c r="D46" s="35">
        <f>D44/('Parâmetros simulação'!$C$14+'Parâmetros simulação'!$F$22)</f>
        <v>80.96576417004049</v>
      </c>
      <c r="E46" s="36">
        <f>E44/('Parâmetros simulação'!$C$14+'Parâmetros simulação'!$F$22)</f>
        <v>81.00625</v>
      </c>
    </row>
    <row r="47" ht="15">
      <c r="B47" s="4" t="s">
        <v>62</v>
      </c>
    </row>
    <row r="48" spans="2:5" ht="12">
      <c r="B48" s="16" t="s">
        <v>60</v>
      </c>
      <c r="C48" s="42">
        <f>C44</f>
        <v>4148139.6799999997</v>
      </c>
      <c r="D48" s="12">
        <f>D44</f>
        <v>4095701.76</v>
      </c>
      <c r="E48" s="13">
        <f>E44</f>
        <v>4097749.76</v>
      </c>
    </row>
    <row r="49" spans="2:5" ht="12">
      <c r="B49" s="17" t="s">
        <v>67</v>
      </c>
      <c r="C49" s="43">
        <f>'Parâmetros simulação'!$I$10</f>
        <v>196772.63</v>
      </c>
      <c r="D49" s="14">
        <f>'Parâmetros simulação'!$I$10</f>
        <v>196772.63</v>
      </c>
      <c r="E49" s="15">
        <f>'Parâmetros simulação'!$I$10</f>
        <v>196772.63</v>
      </c>
    </row>
    <row r="50" spans="2:5" ht="12">
      <c r="B50" s="59" t="s">
        <v>19</v>
      </c>
      <c r="C50" s="60">
        <f>C48+C49</f>
        <v>4344912.31</v>
      </c>
      <c r="D50" s="61">
        <f aca="true" t="shared" si="0" ref="D50:E50">D48+D49</f>
        <v>4292474.39</v>
      </c>
      <c r="E50" s="62">
        <f t="shared" si="0"/>
        <v>4294522.39</v>
      </c>
    </row>
    <row r="51" spans="2:5" ht="12">
      <c r="B51" s="29" t="s">
        <v>64</v>
      </c>
      <c r="C51" s="37">
        <f>C50/'Parâmetros simulação'!$C$4</f>
        <v>4764.158234649122</v>
      </c>
      <c r="D51" s="38">
        <f>D50/'Parâmetros simulação'!$C$4</f>
        <v>4706.660515350877</v>
      </c>
      <c r="E51" s="39">
        <f>E50/'Parâmetros simulação'!$C$4</f>
        <v>4708.906129385965</v>
      </c>
    </row>
    <row r="52" spans="2:5" ht="12">
      <c r="B52" s="34" t="s">
        <v>65</v>
      </c>
      <c r="C52" s="40">
        <f>C50/('Parâmetros simulação'!C21+'Parâmetros simulação'!$F$22)</f>
        <v>69.24648596873725</v>
      </c>
      <c r="D52" s="35">
        <f>D50/('Parâmetros simulação'!$C$14+'Parâmetros simulação'!$F$22)</f>
        <v>84.85565832964322</v>
      </c>
      <c r="E52" s="36">
        <f>E50/('Parâmetros simulação'!$C$14+'Parâmetros simulação'!$F$22)</f>
        <v>84.89614415960273</v>
      </c>
    </row>
  </sheetData>
  <sheetProtection sheet="1" objects="1" scenarios="1"/>
  <mergeCells count="2">
    <mergeCell ref="B2:E2"/>
    <mergeCell ref="B23:E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 topLeftCell="A1"/>
  </sheetViews>
  <sheetFormatPr defaultColWidth="9.140625" defaultRowHeight="15"/>
  <cols>
    <col min="1" max="1" width="9.140625" style="93" customWidth="1"/>
    <col min="2" max="2" width="33.140625" style="93" bestFit="1" customWidth="1"/>
    <col min="3" max="3" width="15.00390625" style="93" bestFit="1" customWidth="1"/>
    <col min="4" max="4" width="14.00390625" style="93" bestFit="1" customWidth="1"/>
    <col min="5" max="16384" width="9.140625" style="93" customWidth="1"/>
  </cols>
  <sheetData>
    <row r="1" spans="2:4" ht="12">
      <c r="B1" s="140" t="s">
        <v>99</v>
      </c>
      <c r="C1" s="141"/>
      <c r="D1" s="142"/>
    </row>
    <row r="2" spans="2:4" ht="12">
      <c r="B2" s="94" t="s">
        <v>17</v>
      </c>
      <c r="C2" s="95" t="s">
        <v>100</v>
      </c>
      <c r="D2" s="96" t="s">
        <v>101</v>
      </c>
    </row>
    <row r="3" spans="2:4" ht="12">
      <c r="B3" s="97" t="s">
        <v>109</v>
      </c>
      <c r="C3" s="98">
        <f>'Custos (resultados simulação)'!D13</f>
        <v>902688</v>
      </c>
      <c r="D3" s="100">
        <f>C3/'Parâmetros simulação'!$C$4</f>
        <v>989.7894736842105</v>
      </c>
    </row>
    <row r="4" spans="2:4" ht="12">
      <c r="B4" s="63" t="s">
        <v>102</v>
      </c>
      <c r="C4" s="99">
        <f>'Custos (resultados simulação)'!D16</f>
        <v>1346111.9999999998</v>
      </c>
      <c r="D4" s="100">
        <f>C4/'Parâmetros simulação'!$C$4</f>
        <v>1475.9999999999998</v>
      </c>
    </row>
    <row r="5" spans="2:4" ht="12">
      <c r="B5" s="63" t="s">
        <v>103</v>
      </c>
      <c r="C5" s="99">
        <f>'Custos (resultados simulação)'!D37</f>
        <v>807667.1999999998</v>
      </c>
      <c r="D5" s="100">
        <f>C5/'Parâmetros simulação'!$C$4</f>
        <v>885.5999999999998</v>
      </c>
    </row>
    <row r="6" spans="2:4" ht="12">
      <c r="B6" s="63" t="s">
        <v>104</v>
      </c>
      <c r="C6" s="99">
        <f>'Custos (resultados simulação)'!D34</f>
        <v>648533.76</v>
      </c>
      <c r="D6" s="100">
        <f>C6/'Parâmetros simulação'!$C$4</f>
        <v>711.1115789473685</v>
      </c>
    </row>
    <row r="7" spans="2:4" ht="12">
      <c r="B7" s="63" t="s">
        <v>105</v>
      </c>
      <c r="C7" s="99">
        <f>'Custos (resultados simulação)'!D40+'Custos (resultados simulação)'!D19</f>
        <v>390700.79999999993</v>
      </c>
      <c r="D7" s="100">
        <f>C7/'Parâmetros simulação'!$C$4</f>
        <v>428.3999999999999</v>
      </c>
    </row>
    <row r="8" spans="1:4" ht="12">
      <c r="A8" s="101"/>
      <c r="B8" s="63" t="s">
        <v>106</v>
      </c>
      <c r="C8" s="99">
        <f>'Custos (resultados simulação)'!D49</f>
        <v>196772.63</v>
      </c>
      <c r="D8" s="100">
        <f>C8/'Parâmetros simulação'!$C$4</f>
        <v>215.75946271929826</v>
      </c>
    </row>
    <row r="9" spans="1:4" ht="12">
      <c r="A9" s="101"/>
      <c r="B9" s="102" t="s">
        <v>107</v>
      </c>
      <c r="C9" s="103">
        <f>SUM(C3:C8)</f>
        <v>4292474.39</v>
      </c>
      <c r="D9" s="104">
        <f>SUM(D3:D8)</f>
        <v>4706.660515350877</v>
      </c>
    </row>
    <row r="10" spans="1:2" ht="12">
      <c r="A10" s="101"/>
      <c r="B10" s="93" t="s">
        <v>108</v>
      </c>
    </row>
    <row r="11" ht="12">
      <c r="A11" s="101"/>
    </row>
    <row r="12" ht="12">
      <c r="A12" s="101"/>
    </row>
    <row r="13" ht="12">
      <c r="A13" s="101"/>
    </row>
    <row r="14" ht="12">
      <c r="A14" s="101"/>
    </row>
    <row r="15" ht="12">
      <c r="A15" s="101"/>
    </row>
    <row r="16" ht="12">
      <c r="A16" s="101"/>
    </row>
    <row r="17" ht="12">
      <c r="A17" s="101"/>
    </row>
    <row r="18" ht="12">
      <c r="A18" s="101"/>
    </row>
  </sheetData>
  <sheetProtection sheet="1" objects="1" scenarios="1"/>
  <mergeCells count="1">
    <mergeCell ref="B1:D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Moutinho</dc:creator>
  <cp:keywords/>
  <dc:description/>
  <cp:lastModifiedBy>Mário Barroqueiro</cp:lastModifiedBy>
  <dcterms:created xsi:type="dcterms:W3CDTF">2013-07-17T14:35:56Z</dcterms:created>
  <dcterms:modified xsi:type="dcterms:W3CDTF">2013-11-27T00:58:47Z</dcterms:modified>
  <cp:category/>
  <cp:version/>
  <cp:contentType/>
  <cp:contentStatus/>
</cp:coreProperties>
</file>